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1"/>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<sst xmlns="http://schemas.openxmlformats.org/spreadsheetml/2006/main" count="1267" uniqueCount="725">
  <si>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</si>
  <si>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</si>
  <si>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</si>
  <si>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</si>
  <si>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</si>
  <si>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</si>
  <si>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</si>
  <si>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</si>
  <si>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</si>
  <si>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</si>
  <si>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</si>
  <si>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</si>
  <si>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</si>
  <si>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</si>
  <si>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</si>
  <si>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</si>
  <si>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</si>
  <si>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</si>
  <si>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</si>
  <si>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</si>
  <si>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</si>
  <si>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</si>
  <si>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</si>
  <si>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</si>
  <si>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</si>
  <si>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</si>
  <si>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</si>
  <si>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</si>
  <si>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</si>
  <si>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</si>
  <si>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</si>
  <si>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</si>
  <si>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</si>
  <si>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</si>
  <si>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</si>
  <si>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</si>
  <si>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</si>
  <si>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</si>
  <si>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</si>
  <si>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</si>
  <si>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</si>
  <si>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</si>
  <si>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</si>
  <si>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</si>
  <si>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</si>
  <si>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</si>
  <si>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</si>
  <si>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</si>
  <si>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</si>
  <si>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</si>
  <si>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</si>
  <si>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</si>
  <si>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</si>
  <si>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</si>
  <si>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</si>
  <si>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</si>
  <si>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</si>
  <si>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</si>
  <si>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</si>
  <si>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</si>
  <si>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</si>
  <si>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</si>
  <si>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</si>
  <si>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</si>
  <si>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</si>
  <si>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</si>
  <si>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</si>
  <si>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</si>
  <si>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</si>
  <si>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</si>
  <si>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</si>
  <si>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</si>
  <si>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</si>
  <si>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</si>
  <si>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</si>
  <si>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</si>
  <si>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</si>
  <si>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</si>
  <si>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</si>
  <si>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</si>
  <si>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</si>
  <si>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</si>
  <si>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</si>
  <si>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</si>
  <si>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</si>
  <si>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</si>
  <si>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</si>
  <si>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</si>
  <si>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</si>
  <si>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</si>
  <si>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</si>
  <si>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</si>
  <si>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</si>
  <si>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</si>
  <si>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</si>
  <si>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</si>
  <si>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</si>
  <si>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</si>
  <si>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</si>
  <si>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</si>
  <si>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</si>
  <si>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</si>
  <si>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</si>
  <si>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</si>
  <si>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</si>
  <si>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</si>
  <si>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</si>
  <si>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</si>
  <si>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</si>
  <si>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</si>
  <si>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</si>
  <si>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</si>
  <si>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</si>
  <si>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</si>
  <si>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</si>
  <si>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</si>
  <si>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</si>
  <si>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</si>
  <si>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</si>
  <si>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</si>
  <si>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</si>
  <si>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</si>
  <si>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</si>
  <si>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</si>
  <si>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</si>
  <si>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</si>
  <si>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</si>
  <si>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</si>
  <si>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</si>
  <si>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</si>
  <si>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</si>
  <si>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</si>
  <si>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</si>
  <si>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</si>
  <si>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</si>
  <si>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</si>
  <si>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</si>
  <si>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</si>
  <si>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</si>
  <si>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</si>
  <si>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</si>
  <si>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</si>
  <si>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</si>
  <si>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</si>
  <si>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</si>
  <si>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</si>
  <si>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</si>
  <si>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</si>
  <si>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</si>
  <si>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</si>
  <si>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</si>
  <si>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</si>
  <si>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</si>
  <si>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</si>
  <si>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</si>
  <si>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</si>
  <si>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</si>
  <si>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</si>
  <si>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</si>
  <si>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</si>
  <si>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</si>
  <si>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</si>
  <si>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</si>
  <si>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</si>
  <si>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</si>
  <si>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</si>
  <si>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</si>
  <si>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</si>
  <si>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</si>
  <si>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</si>
  <si>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</si>
  <si>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</si>
  <si>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</si>
  <si>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</si>
  <si>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</si>
  <si>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</si>
  <si>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</si>
  <si>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</si>
  <si>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</si>
  <si>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</si>
  <si>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</si>
  <si>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</si>
  <si>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</si>
  <si>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</si>
  <si>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</si>
  <si>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</si>
  <si>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</si>
  <si>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</si>
  <si>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</si>
  <si>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</si>
  <si>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</si>
  <si>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</si>
  <si>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</si>
  <si>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</si>
  <si>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</si>
  <si>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</si>
  <si>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</si>
  <si>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</si>
  <si>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</si>
  <si>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</si>
  <si>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</si>
  <si>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</si>
  <si>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</si>
  <si>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</si>
  <si>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</si>
  <si>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</si>
  <si>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</si>
  <si>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</si>
  <si>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</si>
  <si>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</si>
  <si>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</si>
  <si>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</si>
  <si>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</si>
  <si>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</si>
  <si>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</si>
  <si>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</si>
  <si>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</si>
  <si>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</si>
  <si>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</si>
  <si>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</si>
  <si>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</si>
  <si>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</si>
  <si>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</si>
  <si>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</si>
  <si>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</si>
  <si>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</si>
  <si>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</si>
  <si>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</si>
  <si>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</si>
  <si>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</si>
  <si>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</si>
  <si>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</si>
  <si>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</si>
  <si>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</si>
  <si>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</si>
  <si>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</si>
  <si>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</si>
  <si>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</si>
  <si>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</si>
  <si>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</si>
  <si>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</si>
  <si>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</si>
  <si>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</si>
  <si>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</si>
  <si>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</si>
  <si>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</si>
  <si>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</si>
  <si>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</si>
  <si>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</si>
  <si>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</si>
  <si>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</si>
  <si>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</si>
  <si>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</si>
  <si>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</si>
  <si>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</si>
  <si>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</si>
  <si>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</si>
  <si>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</si>
  <si>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</si>
  <si>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</si>
  <si>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</si>
  <si>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</si>
  <si>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</si>
  <si>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</si>
  <si>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</si>
  <si>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</si>
  <si>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</si>
  <si>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</si>
  <si>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</si>
  <si>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</si>
  <si>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</si>
  <si>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</si>
  <si>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</si>
  <si>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</si>
  <si>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</si>
  <si>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</si>
  <si>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</si>
  <si>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</si>
  <si>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</si>
  <si>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</si>
  <si>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</si>
  <si>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</si>
  <si>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</si>
  <si>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</si>
  <si>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</si>
  <si>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</si>
  <si>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</si>
  <si>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</si>
  <si>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</si>
  <si>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</si>
  <si>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</si>
  <si>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</si>
  <si>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</si>
  <si>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</si>
  <si>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</si>
  <si>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</si>
  <si>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</si>
  <si>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</si>
  <si>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</si>
  <si>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</si>
  <si>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</si>
  <si>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</si>
  <si>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</si>
  <si>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</si>
  <si>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</si>
  <si>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</si>
  <si>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</si>
  <si>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</si>
  <si>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</si>
  <si>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</si>
  <si>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</si>
  <si>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</si>
  <si>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</si>
  <si>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</si>
  <si>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</si>
  <si>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</si>
  <si>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</si>
  <si>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</si>
  <si>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</si>
  <si>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</si>
  <si>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</si>
  <si>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</si>
  <si>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</si>
  <si>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</si>
  <si>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</si>
  <si>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</si>
  <si>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</si>
  <si>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</si>
  <si>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</si>
  <si>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</si>
  <si>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</si>
  <si>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</si>
  <si>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</si>
  <si>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</si>
  <si>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</si>
  <si>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</si>
  <si>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</si>
  <si>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</si>
  <si>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</si>
  <si>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</si>
  <si>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</si>
  <si>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</si>
  <si>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</si>
  <si>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</si>
  <si>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</si>
  <si>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</si>
  <si>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</si>
  <si>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</si>
  <si>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</si>
  <si>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</si>
  <si>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</si>
  <si>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</si>
  <si>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</si>
  <si>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</si>
  <si>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</si>
  <si>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</si>
  <si>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</si>
  <si>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</si>
  <si>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</si>
  <si>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</si>
  <si>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</si>
  <si>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</si>
  <si>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</si>
  <si>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</si>
  <si>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</si>
  <si>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</si>
  <si>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</si>
  <si>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</si>
  <si>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</si>
  <si>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</si>
  <si>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</si>
  <si>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</si>
  <si>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</si>
  <si>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</si>
  <si>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</si>
  <si>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</si>
  <si>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</si>
  <si>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</si>
  <si>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</si>
  <si>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</si>
  <si>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</si>
  <si>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</si>
  <si>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</si>
  <si>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</si>
  <si>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</si>
  <si>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</si>
  <si>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</si>
  <si>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</si>
  <si>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</si>
  <si>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</si>
  <si>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</si>
  <si>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</si>
  <si>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</si>
  <si>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</si>
  <si>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</si>
  <si>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</si>
  <si>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</si>
  <si>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</si>
  <si>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</si>
  <si>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</si>
  <si>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</si>
  <si>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</si>
  <si>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</si>
  <si>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</si>
  <si>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</si>
  <si>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</si>
  <si>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</si>
  <si>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</si>
  <si>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</si>
  <si>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</si>
  <si>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</si>
  <si>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</si>
  <si>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</si>
  <si>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</si>
  <si>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</si>
  <si>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</si>
  <si>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</si>
  <si>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</si>
  <si>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</si>
  <si>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</si>
  <si>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</si>
  <si>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</si>
  <si>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</si>
  <si>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</si>
  <si>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</si>
  <si>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</si>
  <si>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</si>
  <si>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</si>
  <si>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</si>
  <si>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</si>
  <si>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</si>
  <si>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</si>
  <si>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</si>
  <si>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</si>
  <si>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</si>
  <si>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</si>
  <si>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</si>
  <si>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</si>
  <si>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</si>
  <si>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</si>
  <si>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</si>
  <si>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</si>
  <si>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</si>
  <si>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</si>
  <si>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</si>
  <si>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</si>
  <si>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</si>
  <si>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</si>
  <si>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</si>
  <si>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</si>
  <si>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</si>
  <si>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</si>
  <si>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</si>
  <si>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</si>
  <si>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</si>
  <si>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</si>
  <si>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</si>
  <si>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</si>
  <si>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</si>
  <si>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</si>
  <si>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</si>
  <si>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</si>
  <si>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</si>
  <si>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</si>
  <si>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</si>
  <si>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</si>
  <si>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</si>
  <si>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</si>
  <si>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</si>
  <si>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</si>
  <si>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</si>
  <si>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</si>
  <si>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</si>
  <si>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</si>
  <si>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</si>
  <si>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</si>
  <si>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</si>
  <si>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</si>
  <si>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</si>
  <si>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</si>
  <si>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</si>
  <si>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</si>
  <si>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</si>
  <si>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</si>
  <si>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</si>
  <si>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</si>
  <si>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</si>
  <si>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</si>
  <si>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</si>
  <si>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</si>
  <si>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</si>
  <si>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</si>
  <si>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</si>
  <si>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</si>
  <si>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</si>
  <si>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</si>
  <si>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</si>
  <si>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</si>
  <si>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</si>
  <si>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</si>
  <si>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</si>
  <si>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</si>
  <si>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</si>
  <si>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</si>
  <si>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</si>
  <si>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</si>
  <si>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</si>
  <si>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</si>
  <si>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</si>
  <si>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</si>
  <si>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</si>
  <si>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</si>
  <si>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</si>
  <si>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</si>
  <si>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</si>
  <si>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</si>
  <si>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</si>
  <si>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</si>
  <si>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</si>
  <si>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12.7.2016 se KK vyjádřil k předmětné věci na SFŽP
</t>
    </r>
    <r>
      <rPr>
        <b/>
        <sz val="16"/>
        <color indexed="8"/>
        <rFont val="Calibri"/>
        <family val="2"/>
      </rPr>
      <t>OČEKÁVÁME VYDÁNÍ VÝZVY</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</si>
  <si>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</si>
  <si>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</si>
  <si>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</si>
  <si>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</si>
  <si>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</si>
  <si>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</si>
  <si>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</si>
  <si>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</si>
  <si>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</si>
  <si>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</si>
  <si>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</si>
  <si>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</si>
  <si>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</si>
  <si>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</si>
  <si>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</si>
  <si>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</si>
  <si>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</si>
  <si>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</si>
  <si>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</si>
  <si>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</si>
  <si>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</si>
  <si>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</si>
  <si>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</si>
  <si>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</si>
  <si>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</si>
  <si>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</si>
  <si>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</si>
  <si>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</si>
  <si>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</si>
  <si>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</si>
  <si>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</si>
  <si>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</si>
  <si>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</si>
  <si>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</si>
  <si>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</si>
  <si>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</si>
  <si>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</si>
  <si>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</si>
  <si>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</si>
  <si>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</si>
  <si>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</si>
  <si>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</si>
  <si>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</si>
  <si>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</si>
  <si>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</si>
  <si>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</si>
  <si>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</si>
  <si>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</si>
  <si>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</si>
  <si>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</si>
  <si>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</si>
  <si>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</si>
  <si>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</si>
  <si>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</si>
  <si>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</si>
  <si>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</si>
  <si>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</si>
  <si>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</si>
  <si>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</si>
  <si>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</si>
  <si>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</si>
  <si>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</si>
  <si>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</si>
  <si>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</si>
  <si>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</si>
  <si>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</si>
  <si>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</si>
  <si>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</si>
  <si>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</si>
  <si>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</si>
  <si>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</si>
  <si>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</si>
  <si>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</si>
  <si>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</si>
  <si>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</si>
  <si>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</si>
  <si>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</si>
  <si>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</si>
  <si>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</si>
  <si>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</si>
  <si>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</si>
  <si>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</si>
  <si>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</si>
  <si>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</si>
  <si>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</si>
  <si>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</si>
  <si>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</si>
  <si>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</si>
  <si>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</si>
  <si>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</si>
  <si>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</si>
  <si>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</si>
  <si>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</si>
  <si>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</si>
  <si>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</si>
  <si>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</si>
  <si>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</si>
  <si>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</si>
  <si>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</si>
  <si>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</si>
  <si>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</si>
  <si>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</si>
  <si>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</si>
  <si>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</si>
  <si>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</si>
  <si>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</si>
  <si>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</si>
  <si>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</si>
  <si>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</si>
  <si>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</si>
  <si>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</si>
  <si>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</si>
  <si>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</si>
  <si>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</si>
  <si>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</si>
  <si>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</si>
  <si>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</si>
  <si>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</si>
  <si>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</si>
  <si>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</si>
  <si>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</si>
  <si>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</si>
  <si>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</si>
  <si>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</si>
  <si>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</si>
  <si>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</si>
  <si>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</si>
  <si>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PENALE NA GENER.FIN.ŘED.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</si>
  <si>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</si>
  <si>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</si>
  <si>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</si>
  <si>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</si>
  <si>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</si>
  <si>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</si>
  <si>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</si>
  <si>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</si>
  <si>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</si>
  <si>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</si>
  <si>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</si>
  <si>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</si>
  <si>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</si>
  <si>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</si>
  <si>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</si>
  <si>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</si>
  <si>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</si>
  <si>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</si>
  <si>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</si>
  <si>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</si>
  <si>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</si>
  <si>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</si>
  <si>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</si>
  <si>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</si>
  <si>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</si>
  <si>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</si>
  <si>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</si>
  <si>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</si>
  <si>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</si>
  <si>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</si>
  <si>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</si>
  <si>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</si>
  <si>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</si>
  <si>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</si>
  <si>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</si>
  <si>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</si>
  <si>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</si>
  <si>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</si>
  <si>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</si>
  <si>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</si>
  <si>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</si>
  <si>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</si>
  <si>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</si>
  <si>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</si>
  <si>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</si>
  <si>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</si>
  <si>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</si>
  <si>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</si>
  <si>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</si>
  <si>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</si>
  <si>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</si>
  <si>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t>
    </r>
    <r>
      <rPr>
        <b/>
        <sz val="16"/>
        <rFont val="Calibri"/>
        <family val="2"/>
      </rPr>
      <t>ODVOLÁNÍ PROTI PV</t>
    </r>
    <r>
      <rPr>
        <sz val="11"/>
        <rFont val="Calibri"/>
        <family val="2"/>
      </rPr>
      <t xml:space="preserve">
</t>
    </r>
  </si>
  <si>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</si>
  <si>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</si>
  <si>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</si>
  <si>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</si>
  <si>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</si>
  <si>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</si>
  <si>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</si>
  <si>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</si>
  <si>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</si>
  <si>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</si>
  <si>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</si>
  <si>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</si>
  <si>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</si>
  <si>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</si>
  <si>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rPr>
      <t>ODVOLÁNÍ PROTI PV U ODVOL.FIN.ŘED.</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</si>
  <si>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b/>
        <sz val="11"/>
        <color indexed="8"/>
        <rFont val="Calibri"/>
        <family val="2"/>
      </rPr>
      <t>OČEKÁVÁME ROZHODNUTÍ O ODVOLÁNí PRO 2 PLATEBNÍ VÝMĚRY (PV č. 6/2014, 7/2014)
ROZHODNUTÍ RKK, ŽE SPRÁVNÍ ŽALOBY PROTI OBDRŽENÉMU ROZHODNUTÍ O ODVOLÁNÍ PRO PV Č.2/2014 A 3/2014 NEBUDOU PODÁNY.</t>
    </r>
  </si>
  <si>
    <t xml:space="preserve">96 798,25
uhrazeno
      387 193,00
podaná žádost o vratku
290 394,75 </t>
  </si>
  <si>
    <r>
      <t xml:space="preserve">9 754 815,5 
za PV č. 2/2014 uhrazeno  </t>
    </r>
    <r>
      <rPr>
        <sz val="11"/>
        <color indexed="17"/>
        <rFont val="Calibri"/>
        <family val="2"/>
      </rPr>
      <t>4 381 350,00,</t>
    </r>
    <r>
      <rPr>
        <sz val="11"/>
        <color indexed="36"/>
        <rFont val="Calibri"/>
        <family val="2"/>
      </rPr>
      <t xml:space="preserve"> č. 3/2014  uhrazeno </t>
    </r>
    <r>
      <rPr>
        <sz val="11"/>
        <color indexed="17"/>
        <rFont val="Calibri"/>
        <family val="2"/>
      </rPr>
      <t>1 844 554,00</t>
    </r>
    <r>
      <rPr>
        <sz val="11"/>
        <color indexed="36"/>
        <rFont val="Calibri"/>
        <family val="2"/>
      </rPr>
      <t xml:space="preserve"> a č. 5 uhrazeno </t>
    </r>
    <r>
      <rPr>
        <sz val="11"/>
        <color indexed="17"/>
        <rFont val="Calibri"/>
        <family val="2"/>
      </rPr>
      <t xml:space="preserve">420 270,00 </t>
    </r>
    <r>
      <rPr>
        <sz val="11"/>
        <color indexed="36"/>
        <rFont val="Calibri"/>
        <family val="2"/>
      </rPr>
      <t>+</t>
    </r>
    <r>
      <rPr>
        <sz val="11"/>
        <color indexed="17"/>
        <rFont val="Calibri"/>
        <family val="2"/>
      </rPr>
      <t xml:space="preserve">  </t>
    </r>
    <r>
      <rPr>
        <sz val="11"/>
        <color indexed="36"/>
        <rFont val="Calibri"/>
        <family val="2"/>
      </rPr>
      <t xml:space="preserve"> a požádáno o vratku přeplatku  </t>
    </r>
    <r>
      <rPr>
        <sz val="11"/>
        <color indexed="17"/>
        <rFont val="Calibri"/>
        <family val="2"/>
      </rPr>
      <t xml:space="preserve"> 3 943 215,00 + 1 383 415,50 + 315 202,00   </t>
    </r>
  </si>
  <si>
    <t>Zateplení obvodového pláště budovy a výměna části oken budovy Domova pro seniory v Lázních Kynžvart, příspěvkové organizace</t>
  </si>
  <si>
    <t>9. 9. 2013 - 31. 5. 2014</t>
  </si>
  <si>
    <t>OPŽP</t>
  </si>
  <si>
    <t>výzva</t>
  </si>
  <si>
    <t>výzva k vrácení prostředků za překročení délky realizace projektu o 18 dní, neboť kolaudační souhlas byl vydán až dne 18.6.2014.
Částka odpovídá 1% z dotace poskytnuté OPŽP</t>
  </si>
  <si>
    <r>
      <t xml:space="preserve">dne 24.8.2017 vystavilo MŽP výzvu k vrácení dotace podle §14f, odst. 3 zákona 218/2000 Sb. na částku 27029,82 Kč s tím, že splatnost je 30 dní ode dne doručení
</t>
    </r>
    <r>
      <rPr>
        <b/>
        <sz val="11"/>
        <color indexed="8"/>
        <rFont val="Calibri"/>
        <family val="2"/>
      </rPr>
      <t>PŘÍPRAVA JEDNÁNÍ S ADMINISTRÁTOREM PROJEKTU O NÁHRADĚ ŠKODY</t>
    </r>
  </si>
  <si>
    <t>Domov pro seniory v Lázních Kynžvart, p.o.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</si>
</sst>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right/>
      <top/>
      <bottom style="medium"/>
    </border>
    <border>
      <left style="thin"/>
      <right style="thin"/>
      <top/>
      <bottom style="medium"/>
    </border>
    <border>
      <left style="thin"/>
      <right style="medium"/>
      <top/>
      <bottom/>
    </border>
    <border>
      <left style="medium"/>
      <right style="medium"/>
      <top/>
      <bottom/>
    </border>
    <border>
      <left style="thin"/>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top style="thin"/>
      <bottom style="thin"/>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thin"/>
      <right/>
      <top style="medium"/>
      <bottom/>
    </border>
    <border>
      <left style="medium"/>
      <right/>
      <top style="medium"/>
      <bottom style="mediu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36">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8" fillId="4" borderId="51" xfId="0" applyFont="1" applyFill="1" applyBorder="1" applyAlignment="1">
      <alignment vertical="center" wrapText="1"/>
    </xf>
    <xf numFmtId="4" fontId="58" fillId="4" borderId="52" xfId="0" applyNumberFormat="1" applyFont="1" applyFill="1" applyBorder="1" applyAlignment="1">
      <alignment horizontal="right" vertical="center"/>
    </xf>
    <xf numFmtId="10" fontId="58" fillId="4" borderId="51"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3" xfId="0" applyFont="1" applyFill="1" applyBorder="1" applyAlignment="1">
      <alignment horizontal="left" vertical="center" wrapText="1"/>
    </xf>
    <xf numFmtId="4" fontId="0" fillId="0" borderId="54"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5" xfId="0" applyNumberFormat="1" applyFont="1" applyFill="1" applyBorder="1" applyAlignment="1">
      <alignment horizontal="right" vertical="center"/>
    </xf>
    <xf numFmtId="0" fontId="0" fillId="7" borderId="55"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4" fontId="58" fillId="3" borderId="57" xfId="0" applyNumberFormat="1" applyFont="1" applyFill="1" applyBorder="1" applyAlignment="1">
      <alignment horizontal="center" vertical="center"/>
    </xf>
    <xf numFmtId="4" fontId="58" fillId="42" borderId="57" xfId="0" applyNumberFormat="1" applyFont="1" applyFill="1" applyBorder="1" applyAlignment="1">
      <alignment horizontal="center" vertical="center"/>
    </xf>
    <xf numFmtId="4" fontId="58" fillId="4" borderId="55" xfId="0" applyNumberFormat="1" applyFont="1" applyFill="1" applyBorder="1" applyAlignment="1">
      <alignment horizontal="center" vertical="center"/>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4"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4" fontId="58" fillId="42" borderId="61" xfId="0" applyNumberFormat="1" applyFont="1" applyFill="1" applyBorder="1" applyAlignment="1">
      <alignment horizontal="center" vertical="center"/>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2"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1"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1"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1"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4" borderId="59" xfId="0" applyFont="1" applyFill="1" applyBorder="1" applyAlignment="1">
      <alignment horizontal="center" vertical="center"/>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1" xfId="0" applyFont="1" applyBorder="1" applyAlignment="1">
      <alignment horizontal="right" vertical="center" wrapText="1"/>
    </xf>
    <xf numFmtId="0" fontId="6" fillId="0" borderId="57" xfId="0" applyFont="1" applyBorder="1" applyAlignment="1">
      <alignment horizontal="center" vertical="center"/>
    </xf>
    <xf numFmtId="4" fontId="85" fillId="0" borderId="61" xfId="0" applyNumberFormat="1" applyFont="1" applyBorder="1" applyAlignment="1">
      <alignment vertical="center"/>
    </xf>
    <xf numFmtId="4" fontId="58" fillId="0" borderId="55"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1"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4"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2"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3" xfId="0" applyFont="1" applyFill="1" applyBorder="1" applyAlignment="1">
      <alignment vertical="center" wrapText="1"/>
    </xf>
    <xf numFmtId="4" fontId="0" fillId="0" borderId="53" xfId="0" applyNumberFormat="1" applyFont="1" applyFill="1" applyBorder="1" applyAlignment="1">
      <alignment vertical="center"/>
    </xf>
    <xf numFmtId="0" fontId="0" fillId="0" borderId="54"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4" borderId="51" xfId="0" applyFont="1" applyFill="1" applyBorder="1" applyAlignment="1">
      <alignment horizontal="left" vertical="center" wrapText="1"/>
    </xf>
    <xf numFmtId="0" fontId="0" fillId="4" borderId="51" xfId="0" applyFont="1" applyFill="1" applyBorder="1" applyAlignment="1">
      <alignment horizontal="left" vertical="center"/>
    </xf>
    <xf numFmtId="0" fontId="0" fillId="4" borderId="5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77" fillId="0" borderId="26" xfId="0" applyNumberFormat="1" applyFont="1" applyFill="1" applyBorder="1" applyAlignment="1">
      <alignment horizontal="right" vertical="center" wrapText="1"/>
    </xf>
    <xf numFmtId="0" fontId="6" fillId="0" borderId="8" xfId="0" applyFont="1" applyFill="1" applyBorder="1" applyAlignment="1">
      <alignment horizontal="left" vertical="center" wrapText="1"/>
    </xf>
    <xf numFmtId="4" fontId="84" fillId="0" borderId="26" xfId="0" applyNumberFormat="1" applyFont="1" applyBorder="1" applyAlignment="1">
      <alignment horizontal="right" vertical="center"/>
    </xf>
    <xf numFmtId="0" fontId="0" fillId="0" borderId="76" xfId="0" applyFont="1" applyBorder="1" applyAlignment="1">
      <alignment vertical="center" wrapText="1"/>
    </xf>
    <xf numFmtId="0" fontId="0" fillId="0" borderId="33" xfId="0" applyFont="1" applyFill="1" applyBorder="1" applyAlignment="1">
      <alignment vertical="center" wrapText="1"/>
    </xf>
    <xf numFmtId="0" fontId="0" fillId="0" borderId="8" xfId="0" applyFont="1" applyFill="1" applyBorder="1" applyAlignment="1">
      <alignment horizontal="lef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2"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5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vertical="center" wrapText="1"/>
    </xf>
    <xf numFmtId="0" fontId="0" fillId="0" borderId="11" xfId="0" applyBorder="1" applyAlignment="1">
      <alignment vertical="center" wrapText="1"/>
    </xf>
    <xf numFmtId="0" fontId="0" fillId="0" borderId="50" xfId="0" applyFont="1" applyFill="1" applyBorder="1" applyAlignment="1">
      <alignment vertical="center" wrapText="1"/>
    </xf>
    <xf numFmtId="0" fontId="74" fillId="0" borderId="50" xfId="50" applyFont="1" applyBorder="1" applyAlignment="1">
      <alignment horizontal="left" vertical="center" wrapText="1"/>
      <protection/>
    </xf>
    <xf numFmtId="0" fontId="0" fillId="0" borderId="11" xfId="0" applyBorder="1" applyAlignment="1">
      <alignment horizontal="left" vertical="center" wrapText="1"/>
    </xf>
    <xf numFmtId="0" fontId="0" fillId="0" borderId="50" xfId="0" applyFont="1" applyFill="1" applyBorder="1" applyAlignment="1">
      <alignment horizontal="left" vertical="center"/>
    </xf>
    <xf numFmtId="0" fontId="0" fillId="0" borderId="11" xfId="0" applyBorder="1" applyAlignment="1">
      <alignment horizontal="left" vertical="center"/>
    </xf>
    <xf numFmtId="0" fontId="0" fillId="0" borderId="74" xfId="0" applyBorder="1" applyAlignment="1">
      <alignment vertical="center" wrapText="1"/>
    </xf>
    <xf numFmtId="0" fontId="0" fillId="0" borderId="21" xfId="0" applyBorder="1" applyAlignment="1">
      <alignment vertical="center" wrapText="1"/>
    </xf>
    <xf numFmtId="0" fontId="0" fillId="39" borderId="37" xfId="0" applyFont="1" applyFill="1"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39" borderId="37" xfId="0" applyFont="1" applyFill="1" applyBorder="1" applyAlignment="1">
      <alignment horizontal="left" vertical="center" wrapText="1"/>
    </xf>
    <xf numFmtId="0" fontId="0" fillId="0" borderId="37" xfId="0" applyBorder="1" applyAlignment="1">
      <alignment horizontal="right" vertical="center"/>
    </xf>
    <xf numFmtId="0" fontId="0" fillId="0" borderId="22" xfId="0" applyBorder="1" applyAlignment="1">
      <alignment horizontal="right"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74" xfId="0" applyFont="1" applyBorder="1" applyAlignment="1">
      <alignment vertical="center" wrapText="1"/>
    </xf>
    <xf numFmtId="10" fontId="0" fillId="0" borderId="35" xfId="0" applyNumberFormat="1" applyFont="1" applyBorder="1" applyAlignment="1">
      <alignment horizontal="center" vertical="center"/>
    </xf>
    <xf numFmtId="4" fontId="0" fillId="0" borderId="37" xfId="0" applyNumberFormat="1" applyFont="1" applyBorder="1" applyAlignment="1">
      <alignment horizontal="right" vertical="center"/>
    </xf>
    <xf numFmtId="4" fontId="76" fillId="39" borderId="74"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12" xfId="0" applyBorder="1" applyAlignment="1">
      <alignment horizontal="left" vertical="center" wrapText="1"/>
    </xf>
    <xf numFmtId="0" fontId="6" fillId="0"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74" xfId="51" applyFont="1" applyBorder="1" applyAlignment="1">
      <alignment horizontal="left" vertical="center" wrapText="1"/>
      <protection/>
    </xf>
    <xf numFmtId="0" fontId="0" fillId="0" borderId="21" xfId="0" applyBorder="1" applyAlignment="1">
      <alignment horizontal="left" vertical="center" wrapText="1"/>
    </xf>
    <xf numFmtId="4" fontId="6" fillId="0" borderId="37" xfId="0" applyNumberFormat="1" applyFont="1" applyBorder="1" applyAlignment="1">
      <alignment horizontal="right" vertical="center"/>
    </xf>
    <xf numFmtId="4" fontId="77" fillId="39" borderId="74" xfId="0" applyNumberFormat="1" applyFont="1" applyFill="1" applyBorder="1" applyAlignment="1">
      <alignment horizontal="right" vertical="center"/>
    </xf>
    <xf numFmtId="0" fontId="77" fillId="0" borderId="21" xfId="0" applyFont="1" applyBorder="1" applyAlignment="1">
      <alignment horizontal="right" vertical="center"/>
    </xf>
    <xf numFmtId="0" fontId="0" fillId="0" borderId="50" xfId="0" applyFill="1" applyBorder="1" applyAlignment="1">
      <alignment horizontal="left" vertical="center" wrapText="1"/>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4" fontId="74" fillId="0" borderId="50" xfId="0" applyNumberFormat="1" applyFont="1" applyFill="1" applyBorder="1" applyAlignment="1">
      <alignment horizontal="right" vertical="center"/>
    </xf>
    <xf numFmtId="0" fontId="0" fillId="0" borderId="11" xfId="0" applyBorder="1" applyAlignment="1">
      <alignment horizontal="right" vertical="center"/>
    </xf>
    <xf numFmtId="4" fontId="6" fillId="0" borderId="50" xfId="0" applyNumberFormat="1" applyFont="1" applyFill="1" applyBorder="1" applyAlignment="1">
      <alignment horizontal="center" vertical="center"/>
    </xf>
    <xf numFmtId="0" fontId="0" fillId="0" borderId="11" xfId="0" applyBorder="1" applyAlignment="1">
      <alignment horizontal="center" vertical="center"/>
    </xf>
    <xf numFmtId="164" fontId="0" fillId="39" borderId="5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54" xfId="0"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0" fillId="0" borderId="74" xfId="0" applyFont="1" applyBorder="1" applyAlignment="1">
      <alignment vertical="center" wrapText="1"/>
    </xf>
    <xf numFmtId="0" fontId="0" fillId="39" borderId="50" xfId="0" applyFont="1" applyFill="1" applyBorder="1" applyAlignment="1">
      <alignment horizontal="left" vertical="center" wrapText="1"/>
    </xf>
    <xf numFmtId="0" fontId="0" fillId="39" borderId="53"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6" fillId="0" borderId="74" xfId="0" applyFont="1" applyFill="1" applyBorder="1" applyAlignment="1">
      <alignment vertical="center" wrapText="1" shrinkToFit="1"/>
    </xf>
    <xf numFmtId="0" fontId="0" fillId="0" borderId="77" xfId="0" applyBorder="1" applyAlignment="1">
      <alignment vertical="center" wrapText="1" shrinkToFit="1"/>
    </xf>
    <xf numFmtId="0" fontId="0" fillId="0" borderId="21" xfId="0" applyBorder="1" applyAlignment="1">
      <alignment vertical="center" wrapText="1" shrinkToFi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54" xfId="0" applyBorder="1" applyAlignment="1">
      <alignment horizontal="right" vertical="center"/>
    </xf>
    <xf numFmtId="0" fontId="77" fillId="0" borderId="77" xfId="0" applyFont="1" applyBorder="1" applyAlignment="1">
      <alignment horizontal="right" vertical="center"/>
    </xf>
    <xf numFmtId="0" fontId="0" fillId="0" borderId="53" xfId="0" applyBorder="1" applyAlignment="1">
      <alignment horizontal="right" vertical="center"/>
    </xf>
    <xf numFmtId="0" fontId="0" fillId="39" borderId="37" xfId="0" applyFont="1" applyFill="1" applyBorder="1" applyAlignment="1">
      <alignment horizontal="left" vertical="center" wrapText="1"/>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0" fillId="0" borderId="7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12" xfId="0" applyFont="1" applyFill="1" applyBorder="1" applyAlignment="1">
      <alignment horizontal="left" vertical="center"/>
    </xf>
    <xf numFmtId="4"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50"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78" xfId="50" applyFont="1" applyBorder="1" applyAlignment="1">
      <alignment horizontal="left" vertical="center" wrapText="1"/>
      <protection/>
    </xf>
    <xf numFmtId="0" fontId="0" fillId="0" borderId="78" xfId="0" applyFont="1" applyBorder="1" applyAlignment="1">
      <alignment horizontal="left" vertical="center"/>
    </xf>
    <xf numFmtId="4" fontId="0" fillId="0" borderId="78" xfId="0" applyNumberFormat="1" applyFont="1" applyFill="1" applyBorder="1" applyAlignment="1">
      <alignment horizontal="righ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left" vertical="center"/>
    </xf>
    <xf numFmtId="0" fontId="0" fillId="0" borderId="12" xfId="0" applyBorder="1" applyAlignment="1">
      <alignment horizontal="right" vertical="center"/>
    </xf>
    <xf numFmtId="0" fontId="0" fillId="0" borderId="12" xfId="0" applyFont="1" applyFill="1" applyBorder="1" applyAlignment="1">
      <alignment vertical="center" wrapText="1"/>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4" fontId="6" fillId="0" borderId="50" xfId="0" applyNumberFormat="1" applyFont="1" applyBorder="1" applyAlignment="1">
      <alignment horizontal="center" vertical="center" wrapText="1"/>
    </xf>
    <xf numFmtId="4" fontId="0"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4" fontId="77" fillId="0" borderId="74" xfId="0" applyNumberFormat="1" applyFont="1" applyBorder="1" applyAlignment="1">
      <alignment horizontal="right" vertical="center"/>
    </xf>
    <xf numFmtId="4" fontId="77" fillId="0" borderId="21" xfId="0" applyNumberFormat="1" applyFont="1" applyBorder="1" applyAlignment="1">
      <alignment horizontal="right" vertical="center"/>
    </xf>
    <xf numFmtId="4" fontId="74" fillId="0" borderId="12" xfId="0" applyNumberFormat="1" applyFont="1" applyFill="1" applyBorder="1" applyAlignment="1">
      <alignment horizontal="right" vertical="center"/>
    </xf>
    <xf numFmtId="0" fontId="6" fillId="0" borderId="37" xfId="0" applyFont="1" applyFill="1"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horizontal="left" vertical="top"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11" xfId="50"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4" fillId="0" borderId="50" xfId="51" applyFont="1" applyBorder="1" applyAlignment="1">
      <alignment vertical="center" wrapText="1"/>
      <protection/>
    </xf>
    <xf numFmtId="0" fontId="0" fillId="0" borderId="50"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0" xfId="0"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4" fillId="0" borderId="50" xfId="50" applyFont="1" applyFill="1" applyBorder="1" applyAlignment="1">
      <alignment horizontal="left"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1" xfId="0" applyFont="1" applyFill="1" applyBorder="1" applyAlignment="1">
      <alignment horizontal="left" vertical="center"/>
    </xf>
    <xf numFmtId="0" fontId="58" fillId="7" borderId="55" xfId="0" applyFont="1" applyFill="1" applyBorder="1" applyAlignment="1">
      <alignment horizontal="left" vertical="center" wrapText="1"/>
    </xf>
    <xf numFmtId="0" fontId="0" fillId="0" borderId="51" xfId="0" applyBorder="1" applyAlignment="1">
      <alignment horizontal="left" vertical="center"/>
    </xf>
    <xf numFmtId="0" fontId="0" fillId="0" borderId="61" xfId="0" applyBorder="1" applyAlignment="1">
      <alignment horizontal="left" vertical="center"/>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74" xfId="0" applyFont="1" applyFill="1" applyBorder="1" applyAlignment="1">
      <alignment vertical="center" wrapText="1"/>
    </xf>
    <xf numFmtId="0" fontId="75" fillId="7" borderId="77" xfId="0" applyFont="1" applyFill="1" applyBorder="1" applyAlignment="1">
      <alignment vertical="center" wrapText="1"/>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6" fillId="39" borderId="22" xfId="0" applyFont="1" applyFill="1" applyBorder="1" applyAlignment="1">
      <alignment horizontal="left" vertical="center" wrapText="1"/>
    </xf>
    <xf numFmtId="0" fontId="6" fillId="39" borderId="53" xfId="0" applyFont="1" applyFill="1" applyBorder="1" applyAlignment="1">
      <alignment horizontal="left" vertical="center" wrapText="1"/>
    </xf>
    <xf numFmtId="4" fontId="0" fillId="0" borderId="50" xfId="0" applyNumberFormat="1" applyFont="1" applyBorder="1" applyAlignment="1">
      <alignment horizontal="center" vertical="center"/>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4" xfId="0" applyFont="1" applyFill="1" applyBorder="1" applyAlignment="1">
      <alignment vertical="center" wrapText="1"/>
    </xf>
    <xf numFmtId="0" fontId="58" fillId="7" borderId="62"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4" fontId="0" fillId="0" borderId="78"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0" fontId="0" fillId="39" borderId="78" xfId="0" applyFont="1" applyFill="1" applyBorder="1" applyAlignment="1">
      <alignment horizontal="left" vertical="center" wrapText="1"/>
    </xf>
    <xf numFmtId="0" fontId="0" fillId="39" borderId="12" xfId="0" applyFont="1" applyFill="1" applyBorder="1" applyAlignment="1">
      <alignment horizontal="left" vertical="center" wrapText="1"/>
    </xf>
    <xf numFmtId="10" fontId="0" fillId="0" borderId="79" xfId="0" applyNumberFormat="1" applyFont="1" applyBorder="1" applyAlignment="1">
      <alignment horizontal="center" vertical="center"/>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0"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54" xfId="0" applyBorder="1" applyAlignment="1">
      <alignment/>
    </xf>
    <xf numFmtId="0" fontId="0" fillId="0" borderId="32" xfId="0" applyBorder="1" applyAlignment="1">
      <alignment/>
    </xf>
    <xf numFmtId="0" fontId="0" fillId="39" borderId="37"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6" fillId="0" borderId="81" xfId="0" applyFont="1" applyBorder="1" applyAlignment="1">
      <alignment horizontal="left" vertical="center" wrapText="1"/>
    </xf>
    <xf numFmtId="0" fontId="6" fillId="0" borderId="77"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78" xfId="0" applyFont="1" applyFill="1" applyBorder="1" applyAlignment="1">
      <alignment horizontal="left" vertical="center" wrapText="1"/>
    </xf>
    <xf numFmtId="0" fontId="6" fillId="0" borderId="74" xfId="0" applyFont="1" applyBorder="1" applyAlignment="1">
      <alignment vertical="center" wrapText="1"/>
    </xf>
    <xf numFmtId="0" fontId="6" fillId="0" borderId="21" xfId="0" applyFont="1" applyBorder="1" applyAlignment="1">
      <alignment vertical="center" wrapText="1"/>
    </xf>
    <xf numFmtId="0" fontId="0" fillId="0" borderId="7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2"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74" xfId="49" applyFont="1" applyFill="1" applyBorder="1" applyAlignment="1">
      <alignment horizontal="center" vertical="center" wrapText="1"/>
      <protection/>
    </xf>
    <xf numFmtId="0" fontId="0" fillId="0" borderId="77"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81"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78"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78" xfId="0" applyFont="1" applyFill="1" applyBorder="1" applyAlignment="1">
      <alignment horizontal="left" vertical="center" wrapText="1"/>
    </xf>
    <xf numFmtId="4" fontId="0" fillId="0" borderId="78"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81" xfId="0" applyFont="1" applyFill="1" applyBorder="1" applyAlignment="1">
      <alignment horizontal="center" vertical="center"/>
    </xf>
    <xf numFmtId="4" fontId="0" fillId="0" borderId="50" xfId="0" applyNumberFormat="1" applyFont="1" applyBorder="1" applyAlignment="1">
      <alignment horizontal="right" vertical="center"/>
    </xf>
    <xf numFmtId="0" fontId="0" fillId="0" borderId="50" xfId="0" applyFont="1" applyFill="1" applyBorder="1" applyAlignment="1">
      <alignment horizontal="left" vertical="center"/>
    </xf>
    <xf numFmtId="4" fontId="6" fillId="0" borderId="78"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94" fillId="4" borderId="78"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78" xfId="0" applyFont="1" applyBorder="1" applyAlignment="1">
      <alignment horizontal="lef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6"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6"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5" xfId="0" applyNumberFormat="1" applyFont="1" applyFill="1" applyBorder="1" applyAlignment="1">
      <alignment horizontal="right" vertical="center"/>
    </xf>
    <xf numFmtId="4" fontId="0" fillId="0" borderId="54"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77"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3"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4" xfId="0" applyNumberFormat="1" applyFont="1" applyFill="1" applyBorder="1" applyAlignment="1">
      <alignment horizontal="center" vertical="center"/>
    </xf>
    <xf numFmtId="0" fontId="75" fillId="4" borderId="80"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78" xfId="0" applyFont="1" applyBorder="1" applyAlignment="1">
      <alignment horizontal="left" vertical="center" wrapText="1"/>
    </xf>
    <xf numFmtId="0" fontId="6" fillId="0" borderId="12" xfId="0" applyFont="1" applyBorder="1" applyAlignment="1">
      <alignment horizontal="left" vertical="center" wrapText="1"/>
    </xf>
    <xf numFmtId="10" fontId="0" fillId="0" borderId="79"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2"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78" xfId="49" applyFont="1" applyBorder="1" applyAlignment="1">
      <alignment horizontal="left" vertical="center" wrapText="1"/>
      <protection/>
    </xf>
    <xf numFmtId="4" fontId="39" fillId="4" borderId="78"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4" fontId="75" fillId="4" borderId="78"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83" xfId="0" applyFont="1" applyFill="1" applyBorder="1" applyAlignment="1">
      <alignment horizontal="left" wrapText="1"/>
    </xf>
    <xf numFmtId="0" fontId="58" fillId="0" borderId="84"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tabSelected="1" zoomScale="70" zoomScaleNormal="70" zoomScalePageLayoutView="0" workbookViewId="0" topLeftCell="C1">
      <selection activeCell="H33" sqref="H33"/>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42" t="s">
        <v>638</v>
      </c>
      <c r="B1" s="742"/>
      <c r="C1" s="742"/>
      <c r="D1" s="742"/>
      <c r="E1" s="742"/>
      <c r="F1" s="742"/>
      <c r="G1" s="742"/>
      <c r="H1" s="742"/>
      <c r="I1" s="742"/>
    </row>
    <row r="2" ht="9" customHeight="1"/>
    <row r="3" spans="1:9" ht="15.75">
      <c r="A3" s="300" t="s">
        <v>223</v>
      </c>
      <c r="B3" s="300"/>
      <c r="C3" s="300"/>
      <c r="D3" s="300"/>
      <c r="E3" s="300"/>
      <c r="F3" s="300"/>
      <c r="G3" s="300"/>
      <c r="H3" s="300"/>
      <c r="I3" s="306" t="s">
        <v>194</v>
      </c>
    </row>
    <row r="4" spans="1:9" ht="32.25" customHeight="1">
      <c r="A4" s="766" t="s">
        <v>192</v>
      </c>
      <c r="B4" s="767"/>
      <c r="C4" s="754" t="s">
        <v>254</v>
      </c>
      <c r="D4" s="768" t="s">
        <v>310</v>
      </c>
      <c r="E4" s="761" t="s">
        <v>308</v>
      </c>
      <c r="F4" s="762"/>
      <c r="G4" s="763"/>
      <c r="H4" s="748" t="s">
        <v>309</v>
      </c>
      <c r="I4" s="748" t="s">
        <v>255</v>
      </c>
    </row>
    <row r="5" spans="1:10" ht="94.5" customHeight="1">
      <c r="A5" s="766"/>
      <c r="B5" s="767"/>
      <c r="C5" s="754"/>
      <c r="D5" s="768"/>
      <c r="E5" s="373" t="s">
        <v>211</v>
      </c>
      <c r="F5" s="258" t="s">
        <v>253</v>
      </c>
      <c r="G5" s="259" t="s">
        <v>324</v>
      </c>
      <c r="H5" s="748"/>
      <c r="I5" s="748"/>
      <c r="J5" s="234"/>
    </row>
    <row r="6" spans="1:9" ht="31.5">
      <c r="A6" s="746" t="s">
        <v>195</v>
      </c>
      <c r="B6" s="747"/>
      <c r="C6" s="260" t="s">
        <v>196</v>
      </c>
      <c r="D6" s="371" t="s">
        <v>197</v>
      </c>
      <c r="E6" s="374" t="s">
        <v>348</v>
      </c>
      <c r="F6" s="261" t="s">
        <v>199</v>
      </c>
      <c r="G6" s="262" t="s">
        <v>200</v>
      </c>
      <c r="H6" s="263" t="s">
        <v>349</v>
      </c>
      <c r="I6" s="263" t="s">
        <v>350</v>
      </c>
    </row>
    <row r="7" spans="1:9" ht="45" customHeight="1">
      <c r="A7" s="750" t="s">
        <v>220</v>
      </c>
      <c r="B7" s="751"/>
      <c r="C7" s="264">
        <f>'Projekty KK'!G116</f>
        <v>1436802032.23</v>
      </c>
      <c r="D7" s="265">
        <f>'Projekty KK'!L116</f>
        <v>256015116.96999994</v>
      </c>
      <c r="E7" s="266">
        <f>'Projekty KK'!M116</f>
        <v>147467370.64</v>
      </c>
      <c r="F7" s="267">
        <f>'Projekty KK'!N116</f>
        <v>120712183.20000002</v>
      </c>
      <c r="G7" s="268">
        <f>'Projekty KK'!O116</f>
        <v>26755187.439999998</v>
      </c>
      <c r="H7" s="269">
        <f>E7/D7</f>
        <v>0.5760104027657098</v>
      </c>
      <c r="I7" s="269">
        <f>E7/C7</f>
        <v>0.10263583105539048</v>
      </c>
    </row>
    <row r="8" spans="1:9" ht="45" customHeight="1">
      <c r="A8" s="752" t="s">
        <v>221</v>
      </c>
      <c r="B8" s="753"/>
      <c r="C8" s="270">
        <f>'Projekty PO'!G68</f>
        <v>3550044485.22</v>
      </c>
      <c r="D8" s="271">
        <f>'Projekty PO'!L68</f>
        <v>894713980.0845001</v>
      </c>
      <c r="E8" s="272">
        <f>'Projekty PO'!M68</f>
        <v>304548411.02399987</v>
      </c>
      <c r="F8" s="273">
        <f>'Projekty PO'!N68</f>
        <v>338357350.49399996</v>
      </c>
      <c r="G8" s="274">
        <f>'Projekty PO'!O68</f>
        <v>5310710.995</v>
      </c>
      <c r="H8" s="275">
        <f>E8/D8</f>
        <v>0.3403863332897036</v>
      </c>
      <c r="I8" s="276">
        <f>E8/C8</f>
        <v>0.0857872097918589</v>
      </c>
    </row>
    <row r="9" spans="1:9" ht="49.5" customHeight="1" thickBot="1">
      <c r="A9" s="755" t="s">
        <v>294</v>
      </c>
      <c r="B9" s="756"/>
      <c r="C9" s="277" t="s">
        <v>210</v>
      </c>
      <c r="D9" s="278">
        <v>2065000000</v>
      </c>
      <c r="E9" s="279">
        <v>307867530</v>
      </c>
      <c r="F9" s="280">
        <v>307867530</v>
      </c>
      <c r="G9" s="281">
        <v>0</v>
      </c>
      <c r="H9" s="282">
        <f>E9/D9</f>
        <v>0.14908839225181597</v>
      </c>
      <c r="I9" s="283" t="s">
        <v>210</v>
      </c>
    </row>
    <row r="10" spans="1:9" ht="32.25" customHeight="1">
      <c r="A10" s="764" t="s">
        <v>129</v>
      </c>
      <c r="B10" s="765"/>
      <c r="C10" s="284">
        <f>SUM(C7:C9)</f>
        <v>4986846517.45</v>
      </c>
      <c r="D10" s="372">
        <f>SUM(D7:D9)</f>
        <v>3215729097.0545</v>
      </c>
      <c r="E10" s="375">
        <f>SUM(E7:E9)</f>
        <v>759883311.6639998</v>
      </c>
      <c r="F10" s="285">
        <f>SUM(F7:F9)</f>
        <v>766937063.694</v>
      </c>
      <c r="G10" s="286">
        <f>SUM(G7:G9)</f>
        <v>32065898.435</v>
      </c>
      <c r="H10" s="287">
        <f>E10/D10</f>
        <v>0.23630202940914002</v>
      </c>
      <c r="I10" s="288">
        <f>E10/C10</f>
        <v>0.15237752134640842</v>
      </c>
    </row>
    <row r="11" spans="1:9" s="149" customFormat="1" ht="15">
      <c r="A11" s="482" t="s">
        <v>464</v>
      </c>
      <c r="B11" s="515"/>
      <c r="C11" s="515"/>
      <c r="D11" s="515"/>
      <c r="E11" s="515"/>
      <c r="F11" s="515"/>
      <c r="G11" s="176"/>
      <c r="H11" s="177"/>
      <c r="I11" s="73"/>
    </row>
    <row r="12" spans="1:9" s="149" customFormat="1" ht="48" customHeight="1">
      <c r="A12" s="772" t="s">
        <v>465</v>
      </c>
      <c r="B12" s="772"/>
      <c r="C12" s="772"/>
      <c r="D12" s="772"/>
      <c r="E12" s="772"/>
      <c r="F12" s="772"/>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39" t="s">
        <v>467</v>
      </c>
      <c r="B16" s="740"/>
      <c r="C16" s="740"/>
      <c r="D16" s="741"/>
      <c r="E16" s="290">
        <f>E7+E8</f>
        <v>452015781.66399986</v>
      </c>
      <c r="F16" s="757"/>
      <c r="G16" s="758"/>
      <c r="H16" s="758"/>
      <c r="I16" s="759"/>
    </row>
    <row r="17" spans="1:9" s="149" customFormat="1" ht="24.75" customHeight="1">
      <c r="A17" s="289" t="s">
        <v>156</v>
      </c>
      <c r="B17" s="292" t="s">
        <v>225</v>
      </c>
      <c r="C17" s="292"/>
      <c r="D17" s="293"/>
      <c r="E17" s="294">
        <f>'Projekty KK'!N117+'Projekty PO'!N69</f>
        <v>233823845.34399998</v>
      </c>
      <c r="F17" s="513" t="s">
        <v>466</v>
      </c>
      <c r="G17" s="513"/>
      <c r="H17" s="513"/>
      <c r="I17" s="513"/>
    </row>
    <row r="18" spans="1:9" s="149" customFormat="1" ht="24.75" customHeight="1">
      <c r="A18" s="291"/>
      <c r="B18" s="511" t="s">
        <v>219</v>
      </c>
      <c r="C18" s="511"/>
      <c r="D18" s="512"/>
      <c r="E18" s="295">
        <f>'Projekty KK'!N118+'Projekty PO'!N70</f>
        <v>225245688.35</v>
      </c>
      <c r="F18" s="769" t="s">
        <v>303</v>
      </c>
      <c r="G18" s="770"/>
      <c r="H18" s="770"/>
      <c r="I18" s="771"/>
    </row>
    <row r="19" spans="1:9" s="149" customFormat="1" ht="24.75" customHeight="1">
      <c r="A19" s="291"/>
      <c r="B19" s="744" t="s">
        <v>328</v>
      </c>
      <c r="C19" s="744"/>
      <c r="D19" s="745"/>
      <c r="E19" s="296">
        <f>'Projekty KK'!O116+'Projekty PO'!O68</f>
        <v>32065898.435</v>
      </c>
      <c r="F19" s="738" t="s">
        <v>303</v>
      </c>
      <c r="G19" s="738"/>
      <c r="H19" s="738"/>
      <c r="I19" s="738"/>
    </row>
    <row r="20" spans="1:9" s="149" customFormat="1" ht="24.75" customHeight="1">
      <c r="A20" s="739" t="s">
        <v>218</v>
      </c>
      <c r="B20" s="740"/>
      <c r="C20" s="740"/>
      <c r="D20" s="741"/>
      <c r="E20" s="290">
        <f>E9</f>
        <v>307867530</v>
      </c>
      <c r="F20" s="760" t="s">
        <v>302</v>
      </c>
      <c r="G20" s="760"/>
      <c r="H20" s="760"/>
      <c r="I20" s="760"/>
    </row>
    <row r="21" spans="1:9" s="149" customFormat="1" ht="33" customHeight="1">
      <c r="A21" s="735" t="s">
        <v>315</v>
      </c>
      <c r="B21" s="736"/>
      <c r="C21" s="736"/>
      <c r="D21" s="737"/>
      <c r="E21" s="404">
        <f>E10</f>
        <v>759883311.6639998</v>
      </c>
      <c r="F21" s="738" t="s">
        <v>301</v>
      </c>
      <c r="G21" s="738"/>
      <c r="H21" s="738"/>
      <c r="I21" s="738"/>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49" t="s">
        <v>254</v>
      </c>
      <c r="C24" s="749"/>
      <c r="D24" s="749"/>
      <c r="E24" s="743" t="s">
        <v>313</v>
      </c>
      <c r="F24" s="743"/>
      <c r="G24" s="743"/>
      <c r="H24" s="743"/>
      <c r="I24" s="743"/>
    </row>
    <row r="25" spans="1:9" ht="66" customHeight="1">
      <c r="A25" s="297" t="s">
        <v>197</v>
      </c>
      <c r="B25" s="749" t="s">
        <v>311</v>
      </c>
      <c r="C25" s="749"/>
      <c r="D25" s="749"/>
      <c r="E25" s="743" t="s">
        <v>314</v>
      </c>
      <c r="F25" s="743"/>
      <c r="G25" s="743"/>
      <c r="H25" s="743"/>
      <c r="I25" s="743"/>
    </row>
    <row r="26" spans="1:9" ht="40.5" customHeight="1">
      <c r="A26" s="297" t="s">
        <v>198</v>
      </c>
      <c r="B26" s="749" t="s">
        <v>307</v>
      </c>
      <c r="C26" s="749"/>
      <c r="D26" s="749"/>
      <c r="E26" s="773" t="s">
        <v>258</v>
      </c>
      <c r="F26" s="774"/>
      <c r="G26" s="774"/>
      <c r="H26" s="774"/>
      <c r="I26" s="775"/>
    </row>
    <row r="27" spans="1:9" ht="105" customHeight="1">
      <c r="A27" s="297" t="s">
        <v>199</v>
      </c>
      <c r="B27" s="749" t="s">
        <v>193</v>
      </c>
      <c r="C27" s="749"/>
      <c r="D27" s="749"/>
      <c r="E27" s="743" t="s">
        <v>300</v>
      </c>
      <c r="F27" s="743"/>
      <c r="G27" s="743"/>
      <c r="H27" s="743"/>
      <c r="I27" s="743"/>
    </row>
    <row r="28" spans="1:9" ht="72" customHeight="1">
      <c r="A28" s="297" t="s">
        <v>200</v>
      </c>
      <c r="B28" s="749" t="s">
        <v>312</v>
      </c>
      <c r="C28" s="749"/>
      <c r="D28" s="749"/>
      <c r="E28" s="743" t="s">
        <v>216</v>
      </c>
      <c r="F28" s="743"/>
      <c r="G28" s="743"/>
      <c r="H28" s="743"/>
      <c r="I28" s="743"/>
    </row>
    <row r="29" spans="1:9" ht="69.75" customHeight="1">
      <c r="A29" s="298" t="s">
        <v>256</v>
      </c>
      <c r="B29" s="749" t="s">
        <v>309</v>
      </c>
      <c r="C29" s="749"/>
      <c r="D29" s="749"/>
      <c r="E29" s="743" t="s">
        <v>271</v>
      </c>
      <c r="F29" s="743"/>
      <c r="G29" s="743"/>
      <c r="H29" s="743"/>
      <c r="I29" s="743"/>
    </row>
    <row r="30" spans="1:9" ht="42.75" customHeight="1">
      <c r="A30" s="298" t="s">
        <v>257</v>
      </c>
      <c r="B30" s="749" t="s">
        <v>255</v>
      </c>
      <c r="C30" s="749"/>
      <c r="D30" s="749"/>
      <c r="E30" s="743" t="s">
        <v>270</v>
      </c>
      <c r="F30" s="743"/>
      <c r="G30" s="743"/>
      <c r="H30" s="743"/>
      <c r="I30" s="743"/>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 stav k 1. 9.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7"/>
  <sheetViews>
    <sheetView zoomScale="70" zoomScaleNormal="70" zoomScalePageLayoutView="70" workbookViewId="0" topLeftCell="A111">
      <selection activeCell="Q82" sqref="Q82"/>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5" width="12.8515625" style="0" customWidth="1"/>
    <col min="6" max="6" width="10.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637</v>
      </c>
      <c r="C1" s="23"/>
      <c r="D1" s="23"/>
      <c r="E1" s="23"/>
      <c r="F1" s="23"/>
      <c r="G1" s="23"/>
      <c r="H1" s="23"/>
      <c r="I1" s="23"/>
      <c r="J1" s="23"/>
      <c r="K1" s="23"/>
      <c r="L1" s="23"/>
      <c r="M1" s="23"/>
      <c r="N1" s="23"/>
      <c r="O1" s="23"/>
      <c r="P1" s="23"/>
      <c r="Q1" s="23"/>
      <c r="R1" s="235" t="s">
        <v>272</v>
      </c>
    </row>
    <row r="2" spans="1:20" ht="38.25" customHeight="1">
      <c r="A2" s="963" t="s">
        <v>327</v>
      </c>
      <c r="B2" s="961" t="s">
        <v>144</v>
      </c>
      <c r="C2" s="961" t="s">
        <v>135</v>
      </c>
      <c r="D2" s="962" t="s">
        <v>612</v>
      </c>
      <c r="E2" s="961" t="s">
        <v>136</v>
      </c>
      <c r="F2" s="965" t="s">
        <v>140</v>
      </c>
      <c r="G2" s="961" t="s">
        <v>207</v>
      </c>
      <c r="H2" s="962" t="s">
        <v>504</v>
      </c>
      <c r="I2" s="961" t="s">
        <v>358</v>
      </c>
      <c r="J2" s="961" t="s">
        <v>137</v>
      </c>
      <c r="K2" s="976" t="s">
        <v>208</v>
      </c>
      <c r="L2" s="975" t="s">
        <v>310</v>
      </c>
      <c r="M2" s="974" t="s">
        <v>308</v>
      </c>
      <c r="N2" s="957"/>
      <c r="O2" s="958"/>
      <c r="P2" s="972" t="s">
        <v>309</v>
      </c>
      <c r="Q2" s="970" t="s">
        <v>269</v>
      </c>
      <c r="R2" s="959" t="s">
        <v>209</v>
      </c>
      <c r="S2" s="957" t="s">
        <v>397</v>
      </c>
      <c r="T2" s="958"/>
    </row>
    <row r="3" spans="1:20" ht="90">
      <c r="A3" s="964"/>
      <c r="B3" s="962"/>
      <c r="C3" s="962"/>
      <c r="D3" s="779"/>
      <c r="E3" s="962"/>
      <c r="F3" s="966"/>
      <c r="G3" s="962"/>
      <c r="H3" s="779"/>
      <c r="I3" s="962"/>
      <c r="J3" s="962"/>
      <c r="K3" s="977"/>
      <c r="L3" s="972"/>
      <c r="M3" s="230" t="s">
        <v>211</v>
      </c>
      <c r="N3" s="231" t="s">
        <v>212</v>
      </c>
      <c r="O3" s="232" t="s">
        <v>213</v>
      </c>
      <c r="P3" s="973"/>
      <c r="Q3" s="971"/>
      <c r="R3" s="960"/>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505</v>
      </c>
      <c r="L4" s="181" t="s">
        <v>613</v>
      </c>
      <c r="M4" s="181" t="s">
        <v>614</v>
      </c>
      <c r="N4" s="182" t="s">
        <v>506</v>
      </c>
      <c r="O4" s="180" t="s">
        <v>615</v>
      </c>
      <c r="P4" s="181" t="s">
        <v>616</v>
      </c>
      <c r="Q4" s="181" t="s">
        <v>617</v>
      </c>
      <c r="R4" s="381" t="s">
        <v>618</v>
      </c>
      <c r="S4" s="182" t="s">
        <v>399</v>
      </c>
      <c r="T4" s="382" t="s">
        <v>400</v>
      </c>
    </row>
    <row r="5" spans="1:20" ht="40.5" customHeight="1">
      <c r="A5" s="859">
        <v>1</v>
      </c>
      <c r="B5" s="861" t="s">
        <v>4</v>
      </c>
      <c r="C5" s="863" t="s">
        <v>326</v>
      </c>
      <c r="D5" s="1002" t="s">
        <v>619</v>
      </c>
      <c r="E5" s="877" t="s">
        <v>42</v>
      </c>
      <c r="F5" s="878" t="s">
        <v>6</v>
      </c>
      <c r="G5" s="879">
        <v>7683687</v>
      </c>
      <c r="H5" s="978" t="s">
        <v>507</v>
      </c>
      <c r="I5" s="861" t="s">
        <v>162</v>
      </c>
      <c r="J5" s="980" t="s">
        <v>159</v>
      </c>
      <c r="K5" s="987" t="s">
        <v>251</v>
      </c>
      <c r="L5" s="318">
        <v>5000</v>
      </c>
      <c r="M5" s="316">
        <f aca="true" t="shared" si="0" ref="M5:M87">N5+O5</f>
        <v>5000</v>
      </c>
      <c r="N5" s="256">
        <v>5000</v>
      </c>
      <c r="O5" s="319"/>
      <c r="P5" s="315">
        <f aca="true" t="shared" si="1" ref="P5:P89">M5/L5</f>
        <v>1</v>
      </c>
      <c r="Q5" s="982">
        <f>(M5+M6+M8)/G5</f>
        <v>0.007832828172204308</v>
      </c>
      <c r="R5" s="998" t="s">
        <v>534</v>
      </c>
      <c r="S5" s="378">
        <f>T5/L5</f>
        <v>0</v>
      </c>
      <c r="T5" s="10">
        <f>L5-M5</f>
        <v>0</v>
      </c>
    </row>
    <row r="6" spans="1:20" ht="46.5" customHeight="1">
      <c r="A6" s="860"/>
      <c r="B6" s="862"/>
      <c r="C6" s="862"/>
      <c r="D6" s="807"/>
      <c r="E6" s="867"/>
      <c r="F6" s="876"/>
      <c r="G6" s="869"/>
      <c r="H6" s="836"/>
      <c r="I6" s="862"/>
      <c r="J6" s="981"/>
      <c r="K6" s="988"/>
      <c r="L6" s="985">
        <v>5518441</v>
      </c>
      <c r="M6" s="983">
        <v>55185</v>
      </c>
      <c r="N6" s="816">
        <v>55185</v>
      </c>
      <c r="O6" s="996"/>
      <c r="P6" s="796">
        <f t="shared" si="1"/>
        <v>0.010000106914253501</v>
      </c>
      <c r="Q6" s="828"/>
      <c r="R6" s="999"/>
      <c r="S6" s="376">
        <f aca="true" t="shared" si="2" ref="S6:S55">T6/L6</f>
        <v>0.9899998930857465</v>
      </c>
      <c r="T6" s="5">
        <f aca="true" t="shared" si="3" ref="T6:T55">L6-M6</f>
        <v>5463256</v>
      </c>
    </row>
    <row r="7" spans="1:20" ht="30.75" customHeight="1">
      <c r="A7" s="860"/>
      <c r="B7" s="862"/>
      <c r="C7" s="862"/>
      <c r="D7" s="807"/>
      <c r="E7" s="867"/>
      <c r="F7" s="876"/>
      <c r="G7" s="869"/>
      <c r="H7" s="836"/>
      <c r="I7" s="862"/>
      <c r="J7" s="782"/>
      <c r="K7" s="988"/>
      <c r="L7" s="986"/>
      <c r="M7" s="984"/>
      <c r="N7" s="799"/>
      <c r="O7" s="997"/>
      <c r="P7" s="794"/>
      <c r="Q7" s="828"/>
      <c r="R7" s="999"/>
      <c r="S7" s="376"/>
      <c r="T7" s="5"/>
    </row>
    <row r="8" spans="1:20" ht="66.75" customHeight="1">
      <c r="A8" s="860"/>
      <c r="B8" s="862"/>
      <c r="C8" s="862"/>
      <c r="D8" s="807"/>
      <c r="E8" s="867"/>
      <c r="F8" s="876"/>
      <c r="G8" s="869"/>
      <c r="H8" s="836"/>
      <c r="I8" s="862"/>
      <c r="J8" s="839" t="s">
        <v>146</v>
      </c>
      <c r="K8" s="988"/>
      <c r="L8" s="800">
        <v>576277</v>
      </c>
      <c r="M8" s="983">
        <v>0</v>
      </c>
      <c r="N8" s="816">
        <v>0</v>
      </c>
      <c r="O8" s="797"/>
      <c r="P8" s="796">
        <f t="shared" si="1"/>
        <v>0</v>
      </c>
      <c r="Q8" s="828"/>
      <c r="R8" s="999"/>
      <c r="S8" s="376">
        <f t="shared" si="2"/>
        <v>1</v>
      </c>
      <c r="T8" s="5">
        <f t="shared" si="3"/>
        <v>576277</v>
      </c>
    </row>
    <row r="9" spans="1:20" ht="156" customHeight="1">
      <c r="A9" s="777"/>
      <c r="B9" s="782"/>
      <c r="C9" s="782"/>
      <c r="D9" s="782"/>
      <c r="E9" s="782"/>
      <c r="F9" s="784"/>
      <c r="G9" s="822"/>
      <c r="H9" s="824"/>
      <c r="I9" s="782"/>
      <c r="J9" s="782"/>
      <c r="K9" s="789"/>
      <c r="L9" s="801"/>
      <c r="M9" s="984"/>
      <c r="N9" s="799"/>
      <c r="O9" s="989"/>
      <c r="P9" s="794"/>
      <c r="Q9" s="794"/>
      <c r="R9" s="814"/>
      <c r="S9" s="376"/>
      <c r="T9" s="5"/>
    </row>
    <row r="10" spans="1:20" ht="132" customHeight="1">
      <c r="A10" s="776">
        <v>2</v>
      </c>
      <c r="B10" s="864" t="s">
        <v>4</v>
      </c>
      <c r="C10" s="864" t="s">
        <v>176</v>
      </c>
      <c r="D10" s="887" t="s">
        <v>620</v>
      </c>
      <c r="E10" s="874" t="s">
        <v>43</v>
      </c>
      <c r="F10" s="875" t="s">
        <v>8</v>
      </c>
      <c r="G10" s="880">
        <v>98003445.05</v>
      </c>
      <c r="H10" s="969" t="s">
        <v>507</v>
      </c>
      <c r="I10" s="945" t="s">
        <v>175</v>
      </c>
      <c r="J10" s="184" t="s">
        <v>138</v>
      </c>
      <c r="K10" s="990" t="s">
        <v>403</v>
      </c>
      <c r="L10" s="185">
        <v>5731781</v>
      </c>
      <c r="M10" s="185">
        <f t="shared" si="0"/>
        <v>1464072</v>
      </c>
      <c r="N10" s="189">
        <v>1464072</v>
      </c>
      <c r="O10" s="190"/>
      <c r="P10" s="183">
        <f t="shared" si="1"/>
        <v>0.25543055465657183</v>
      </c>
      <c r="Q10" s="796">
        <f>(M10+M11+M12+M13+M14)/G10</f>
        <v>0.015624328300079489</v>
      </c>
      <c r="R10" s="321" t="s">
        <v>535</v>
      </c>
      <c r="S10" s="376">
        <f t="shared" si="2"/>
        <v>0.7445694453434282</v>
      </c>
      <c r="T10" s="5">
        <f t="shared" si="3"/>
        <v>4267709</v>
      </c>
    </row>
    <row r="11" spans="1:20" ht="51">
      <c r="A11" s="860"/>
      <c r="B11" s="862"/>
      <c r="C11" s="862"/>
      <c r="D11" s="807"/>
      <c r="E11" s="867"/>
      <c r="F11" s="876"/>
      <c r="G11" s="881"/>
      <c r="H11" s="836"/>
      <c r="I11" s="946"/>
      <c r="J11" s="184" t="s">
        <v>152</v>
      </c>
      <c r="K11" s="988"/>
      <c r="L11" s="185">
        <v>1464072</v>
      </c>
      <c r="M11" s="185">
        <f t="shared" si="0"/>
        <v>0</v>
      </c>
      <c r="N11" s="189">
        <v>0</v>
      </c>
      <c r="O11" s="190"/>
      <c r="P11" s="183">
        <f t="shared" si="1"/>
        <v>0</v>
      </c>
      <c r="Q11" s="828"/>
      <c r="R11" s="338" t="s">
        <v>536</v>
      </c>
      <c r="S11" s="376">
        <f t="shared" si="2"/>
        <v>1</v>
      </c>
      <c r="T11" s="5">
        <f>L11-M11</f>
        <v>1464072</v>
      </c>
    </row>
    <row r="12" spans="1:20" ht="56.25" customHeight="1">
      <c r="A12" s="860"/>
      <c r="B12" s="862"/>
      <c r="C12" s="862"/>
      <c r="D12" s="807"/>
      <c r="E12" s="867"/>
      <c r="F12" s="876"/>
      <c r="G12" s="881"/>
      <c r="H12" s="836"/>
      <c r="I12" s="946"/>
      <c r="J12" s="236" t="s">
        <v>158</v>
      </c>
      <c r="K12" s="812"/>
      <c r="L12" s="185">
        <v>26492</v>
      </c>
      <c r="M12" s="185">
        <f t="shared" si="0"/>
        <v>26492</v>
      </c>
      <c r="N12" s="189">
        <v>26492</v>
      </c>
      <c r="O12" s="190"/>
      <c r="P12" s="183">
        <f t="shared" si="1"/>
        <v>1</v>
      </c>
      <c r="Q12" s="828"/>
      <c r="R12" s="321" t="s">
        <v>537</v>
      </c>
      <c r="S12" s="376">
        <f t="shared" si="2"/>
        <v>0</v>
      </c>
      <c r="T12" s="5">
        <f t="shared" si="3"/>
        <v>0</v>
      </c>
    </row>
    <row r="13" spans="1:20" ht="409.5" customHeight="1">
      <c r="A13" s="860"/>
      <c r="B13" s="862"/>
      <c r="C13" s="862"/>
      <c r="D13" s="807"/>
      <c r="E13" s="867"/>
      <c r="F13" s="876"/>
      <c r="G13" s="881"/>
      <c r="H13" s="836"/>
      <c r="I13" s="946"/>
      <c r="J13" s="184" t="s">
        <v>138</v>
      </c>
      <c r="K13" s="787" t="s">
        <v>230</v>
      </c>
      <c r="L13" s="185">
        <v>81346508</v>
      </c>
      <c r="M13" s="185">
        <f t="shared" si="0"/>
        <v>40674</v>
      </c>
      <c r="N13" s="189">
        <v>40674</v>
      </c>
      <c r="O13" s="187"/>
      <c r="P13" s="183">
        <f t="shared" si="1"/>
        <v>0.0005000091706456533</v>
      </c>
      <c r="Q13" s="828"/>
      <c r="R13" s="340" t="s">
        <v>538</v>
      </c>
      <c r="S13" s="376">
        <f t="shared" si="2"/>
        <v>0.9994999908293544</v>
      </c>
      <c r="T13" s="5">
        <f t="shared" si="3"/>
        <v>81305834</v>
      </c>
    </row>
    <row r="14" spans="1:20" ht="237" customHeight="1">
      <c r="A14" s="777"/>
      <c r="B14" s="782"/>
      <c r="C14" s="782"/>
      <c r="D14" s="782"/>
      <c r="E14" s="782"/>
      <c r="F14" s="784"/>
      <c r="G14" s="822"/>
      <c r="H14" s="824"/>
      <c r="I14" s="782"/>
      <c r="J14" s="385" t="s">
        <v>401</v>
      </c>
      <c r="K14" s="789"/>
      <c r="L14" s="384">
        <v>40674</v>
      </c>
      <c r="M14" s="384">
        <v>0</v>
      </c>
      <c r="N14" s="189">
        <v>0</v>
      </c>
      <c r="O14" s="187"/>
      <c r="P14" s="383">
        <f t="shared" si="1"/>
        <v>0</v>
      </c>
      <c r="Q14" s="829"/>
      <c r="R14" s="340" t="s">
        <v>539</v>
      </c>
      <c r="S14" s="376"/>
      <c r="T14" s="5"/>
    </row>
    <row r="15" spans="1:20" ht="45">
      <c r="A15" s="776">
        <v>3</v>
      </c>
      <c r="B15" s="864" t="s">
        <v>4</v>
      </c>
      <c r="C15" s="864" t="s">
        <v>157</v>
      </c>
      <c r="D15" s="887" t="s">
        <v>621</v>
      </c>
      <c r="E15" s="874" t="s">
        <v>44</v>
      </c>
      <c r="F15" s="875" t="s">
        <v>10</v>
      </c>
      <c r="G15" s="880">
        <v>19287791.43</v>
      </c>
      <c r="H15" s="969" t="s">
        <v>508</v>
      </c>
      <c r="I15" s="945" t="s">
        <v>242</v>
      </c>
      <c r="J15" s="184" t="s">
        <v>139</v>
      </c>
      <c r="K15" s="811" t="s">
        <v>243</v>
      </c>
      <c r="L15" s="185">
        <v>2667</v>
      </c>
      <c r="M15" s="185">
        <f t="shared" si="0"/>
        <v>2667</v>
      </c>
      <c r="N15" s="189">
        <v>2667</v>
      </c>
      <c r="O15" s="187"/>
      <c r="P15" s="183">
        <f t="shared" si="1"/>
        <v>1</v>
      </c>
      <c r="Q15" s="796">
        <f>(M15+M16+M17+M18+M19+M20+M21+M22)/G15</f>
        <v>0.010153103361300708</v>
      </c>
      <c r="R15" s="589" t="s">
        <v>540</v>
      </c>
      <c r="S15" s="376">
        <f t="shared" si="2"/>
        <v>0</v>
      </c>
      <c r="T15" s="5">
        <f t="shared" si="3"/>
        <v>0</v>
      </c>
    </row>
    <row r="16" spans="1:20" ht="36" customHeight="1">
      <c r="A16" s="860"/>
      <c r="B16" s="862"/>
      <c r="C16" s="862"/>
      <c r="D16" s="807"/>
      <c r="E16" s="867"/>
      <c r="F16" s="876"/>
      <c r="G16" s="881"/>
      <c r="H16" s="836"/>
      <c r="I16" s="946"/>
      <c r="J16" s="184" t="s">
        <v>153</v>
      </c>
      <c r="K16" s="812"/>
      <c r="L16" s="193">
        <v>514</v>
      </c>
      <c r="M16" s="185">
        <f t="shared" si="0"/>
        <v>514</v>
      </c>
      <c r="N16" s="194">
        <v>514</v>
      </c>
      <c r="O16" s="143"/>
      <c r="P16" s="183">
        <f t="shared" si="1"/>
        <v>1</v>
      </c>
      <c r="Q16" s="828"/>
      <c r="R16" s="589" t="s">
        <v>541</v>
      </c>
      <c r="S16" s="376">
        <f t="shared" si="2"/>
        <v>0</v>
      </c>
      <c r="T16" s="5">
        <f t="shared" si="3"/>
        <v>0</v>
      </c>
    </row>
    <row r="17" spans="1:20" ht="15">
      <c r="A17" s="860"/>
      <c r="B17" s="862"/>
      <c r="C17" s="862"/>
      <c r="D17" s="807"/>
      <c r="E17" s="867"/>
      <c r="F17" s="876"/>
      <c r="G17" s="881"/>
      <c r="H17" s="836"/>
      <c r="I17" s="946"/>
      <c r="J17" s="979" t="s">
        <v>139</v>
      </c>
      <c r="K17" s="811" t="s">
        <v>244</v>
      </c>
      <c r="L17" s="413">
        <v>84471</v>
      </c>
      <c r="M17" s="185">
        <f t="shared" si="0"/>
        <v>25.16</v>
      </c>
      <c r="N17" s="189">
        <v>25.16</v>
      </c>
      <c r="O17" s="797"/>
      <c r="P17" s="796">
        <f>(M17+M18)/L17</f>
        <v>1.2502982088527423</v>
      </c>
      <c r="Q17" s="828"/>
      <c r="R17" s="1000" t="s">
        <v>542</v>
      </c>
      <c r="S17" s="376">
        <f t="shared" si="2"/>
        <v>0.9997021462987297</v>
      </c>
      <c r="T17" s="5">
        <f t="shared" si="3"/>
        <v>84445.84</v>
      </c>
    </row>
    <row r="18" spans="1:20" ht="111" customHeight="1">
      <c r="A18" s="860"/>
      <c r="B18" s="862"/>
      <c r="C18" s="862"/>
      <c r="D18" s="807"/>
      <c r="E18" s="867"/>
      <c r="F18" s="876"/>
      <c r="G18" s="881"/>
      <c r="H18" s="836"/>
      <c r="I18" s="946"/>
      <c r="J18" s="979"/>
      <c r="K18" s="812"/>
      <c r="L18" s="413">
        <v>114985.28</v>
      </c>
      <c r="M18" s="185">
        <v>105588.78</v>
      </c>
      <c r="N18" s="189">
        <v>105588.78</v>
      </c>
      <c r="O18" s="989"/>
      <c r="P18" s="829"/>
      <c r="Q18" s="828"/>
      <c r="R18" s="1001"/>
      <c r="S18" s="376">
        <f t="shared" si="2"/>
        <v>0.08171915570410404</v>
      </c>
      <c r="T18" s="5">
        <f t="shared" si="3"/>
        <v>9396.5</v>
      </c>
    </row>
    <row r="19" spans="1:20" ht="197.25" customHeight="1">
      <c r="A19" s="860"/>
      <c r="B19" s="862"/>
      <c r="C19" s="862"/>
      <c r="D19" s="807"/>
      <c r="E19" s="867"/>
      <c r="F19" s="876"/>
      <c r="G19" s="881"/>
      <c r="H19" s="836"/>
      <c r="I19" s="946"/>
      <c r="J19" s="184" t="s">
        <v>139</v>
      </c>
      <c r="K19" s="856" t="s">
        <v>240</v>
      </c>
      <c r="L19" s="193">
        <v>253214</v>
      </c>
      <c r="M19" s="185">
        <v>63304</v>
      </c>
      <c r="N19" s="194">
        <v>63304</v>
      </c>
      <c r="O19" s="143"/>
      <c r="P19" s="183">
        <f t="shared" si="1"/>
        <v>0.2500019746143578</v>
      </c>
      <c r="Q19" s="828"/>
      <c r="R19" s="589" t="s">
        <v>543</v>
      </c>
      <c r="S19" s="376">
        <f t="shared" si="2"/>
        <v>0.7499980253856422</v>
      </c>
      <c r="T19" s="5">
        <f t="shared" si="3"/>
        <v>189910</v>
      </c>
    </row>
    <row r="20" spans="1:20" ht="117">
      <c r="A20" s="860"/>
      <c r="B20" s="862"/>
      <c r="C20" s="862"/>
      <c r="D20" s="807"/>
      <c r="E20" s="867"/>
      <c r="F20" s="876"/>
      <c r="G20" s="881"/>
      <c r="H20" s="836"/>
      <c r="I20" s="946"/>
      <c r="J20" s="184" t="s">
        <v>153</v>
      </c>
      <c r="K20" s="847"/>
      <c r="L20" s="193">
        <v>246056</v>
      </c>
      <c r="M20" s="185">
        <v>10930</v>
      </c>
      <c r="N20" s="194">
        <v>10930</v>
      </c>
      <c r="O20" s="143"/>
      <c r="P20" s="183">
        <f t="shared" si="1"/>
        <v>0.04442078226094873</v>
      </c>
      <c r="Q20" s="828"/>
      <c r="R20" s="589" t="s">
        <v>544</v>
      </c>
      <c r="S20" s="376">
        <f t="shared" si="2"/>
        <v>0.9555792177390513</v>
      </c>
      <c r="T20" s="5">
        <f t="shared" si="3"/>
        <v>235126</v>
      </c>
    </row>
    <row r="21" spans="1:20" ht="57">
      <c r="A21" s="860"/>
      <c r="B21" s="862"/>
      <c r="C21" s="862"/>
      <c r="D21" s="807"/>
      <c r="E21" s="867"/>
      <c r="F21" s="876"/>
      <c r="G21" s="881"/>
      <c r="H21" s="836"/>
      <c r="I21" s="946"/>
      <c r="J21" s="184" t="s">
        <v>154</v>
      </c>
      <c r="K21" s="191" t="s">
        <v>241</v>
      </c>
      <c r="L21" s="193">
        <v>2796</v>
      </c>
      <c r="M21" s="185">
        <f t="shared" si="0"/>
        <v>2796</v>
      </c>
      <c r="N21" s="194">
        <v>2796</v>
      </c>
      <c r="O21" s="143"/>
      <c r="P21" s="183">
        <f t="shared" si="1"/>
        <v>1</v>
      </c>
      <c r="Q21" s="828"/>
      <c r="R21" s="589" t="s">
        <v>545</v>
      </c>
      <c r="S21" s="376">
        <f t="shared" si="2"/>
        <v>0</v>
      </c>
      <c r="T21" s="5">
        <f t="shared" si="3"/>
        <v>0</v>
      </c>
    </row>
    <row r="22" spans="1:20" ht="338.25" customHeight="1">
      <c r="A22" s="860"/>
      <c r="B22" s="862"/>
      <c r="C22" s="862"/>
      <c r="D22" s="807"/>
      <c r="E22" s="867"/>
      <c r="F22" s="876"/>
      <c r="G22" s="881"/>
      <c r="H22" s="836"/>
      <c r="I22" s="946"/>
      <c r="J22" s="184" t="s">
        <v>139</v>
      </c>
      <c r="K22" s="995" t="s">
        <v>336</v>
      </c>
      <c r="L22" s="185">
        <v>2400910</v>
      </c>
      <c r="M22" s="185">
        <f t="shared" si="0"/>
        <v>10006</v>
      </c>
      <c r="N22" s="194">
        <v>10006</v>
      </c>
      <c r="O22" s="314"/>
      <c r="P22" s="183">
        <f t="shared" si="1"/>
        <v>0.004167586456801796</v>
      </c>
      <c r="Q22" s="829"/>
      <c r="R22" s="321" t="s">
        <v>513</v>
      </c>
      <c r="S22" s="376">
        <f t="shared" si="2"/>
        <v>0.9958324135431982</v>
      </c>
      <c r="T22" s="5">
        <f t="shared" si="3"/>
        <v>2390904</v>
      </c>
    </row>
    <row r="23" spans="1:20" ht="335.25" customHeight="1">
      <c r="A23" s="777"/>
      <c r="B23" s="782"/>
      <c r="C23" s="782"/>
      <c r="D23" s="782"/>
      <c r="E23" s="782"/>
      <c r="F23" s="784"/>
      <c r="G23" s="822"/>
      <c r="H23" s="824"/>
      <c r="I23" s="782"/>
      <c r="J23" s="468" t="s">
        <v>146</v>
      </c>
      <c r="K23" s="789"/>
      <c r="L23" s="413">
        <v>10006</v>
      </c>
      <c r="M23" s="413">
        <v>10006</v>
      </c>
      <c r="N23" s="194">
        <v>10006</v>
      </c>
      <c r="O23" s="314"/>
      <c r="P23" s="458">
        <f t="shared" si="1"/>
        <v>1</v>
      </c>
      <c r="Q23" s="459">
        <f>SUM(M23/G15)</f>
        <v>0.0005187737557363249</v>
      </c>
      <c r="R23" s="321" t="s">
        <v>645</v>
      </c>
      <c r="S23" s="376"/>
      <c r="T23" s="5"/>
    </row>
    <row r="24" spans="1:20" ht="66">
      <c r="A24" s="776">
        <v>4</v>
      </c>
      <c r="B24" s="864" t="s">
        <v>4</v>
      </c>
      <c r="C24" s="864" t="s">
        <v>177</v>
      </c>
      <c r="D24" s="887" t="s">
        <v>621</v>
      </c>
      <c r="E24" s="874" t="s">
        <v>45</v>
      </c>
      <c r="F24" s="875" t="s">
        <v>10</v>
      </c>
      <c r="G24" s="880">
        <v>6805967.21</v>
      </c>
      <c r="H24" s="969" t="s">
        <v>508</v>
      </c>
      <c r="I24" s="945" t="s">
        <v>242</v>
      </c>
      <c r="J24" s="184" t="s">
        <v>139</v>
      </c>
      <c r="K24" s="949" t="s">
        <v>245</v>
      </c>
      <c r="L24" s="185">
        <v>5610</v>
      </c>
      <c r="M24" s="185">
        <f t="shared" si="0"/>
        <v>0</v>
      </c>
      <c r="N24" s="189">
        <v>0</v>
      </c>
      <c r="O24" s="187"/>
      <c r="P24" s="183">
        <f t="shared" si="1"/>
        <v>0</v>
      </c>
      <c r="Q24" s="796">
        <f>(M24+M25+M26+M27+M28+M29+M30+M31+M32)/G24</f>
        <v>0.004564523901078272</v>
      </c>
      <c r="R24" s="589" t="s">
        <v>546</v>
      </c>
      <c r="S24" s="376">
        <f t="shared" si="2"/>
        <v>1</v>
      </c>
      <c r="T24" s="5">
        <f t="shared" si="3"/>
        <v>5610</v>
      </c>
    </row>
    <row r="25" spans="1:20" ht="51">
      <c r="A25" s="860"/>
      <c r="B25" s="862"/>
      <c r="C25" s="862"/>
      <c r="D25" s="807"/>
      <c r="E25" s="867"/>
      <c r="F25" s="876"/>
      <c r="G25" s="881"/>
      <c r="H25" s="836"/>
      <c r="I25" s="946"/>
      <c r="J25" s="184" t="s">
        <v>153</v>
      </c>
      <c r="K25" s="950"/>
      <c r="L25" s="193">
        <v>1356</v>
      </c>
      <c r="M25" s="185">
        <f t="shared" si="0"/>
        <v>0</v>
      </c>
      <c r="N25" s="194">
        <v>0</v>
      </c>
      <c r="O25" s="143"/>
      <c r="P25" s="183">
        <f t="shared" si="1"/>
        <v>0</v>
      </c>
      <c r="Q25" s="828"/>
      <c r="R25" s="589" t="s">
        <v>547</v>
      </c>
      <c r="S25" s="376">
        <f t="shared" si="2"/>
        <v>1</v>
      </c>
      <c r="T25" s="5">
        <f t="shared" si="3"/>
        <v>1356</v>
      </c>
    </row>
    <row r="26" spans="1:20" ht="51">
      <c r="A26" s="860"/>
      <c r="B26" s="862"/>
      <c r="C26" s="862"/>
      <c r="D26" s="807"/>
      <c r="E26" s="867"/>
      <c r="F26" s="876"/>
      <c r="G26" s="881"/>
      <c r="H26" s="836"/>
      <c r="I26" s="946"/>
      <c r="J26" s="184" t="s">
        <v>139</v>
      </c>
      <c r="K26" s="949" t="s">
        <v>245</v>
      </c>
      <c r="L26" s="193">
        <v>6317</v>
      </c>
      <c r="M26" s="185">
        <f t="shared" si="0"/>
        <v>0</v>
      </c>
      <c r="N26" s="194">
        <v>0</v>
      </c>
      <c r="O26" s="143"/>
      <c r="P26" s="183">
        <f t="shared" si="1"/>
        <v>0</v>
      </c>
      <c r="Q26" s="828"/>
      <c r="R26" s="589" t="s">
        <v>548</v>
      </c>
      <c r="S26" s="376">
        <f t="shared" si="2"/>
        <v>1</v>
      </c>
      <c r="T26" s="5">
        <f t="shared" si="3"/>
        <v>6317</v>
      </c>
    </row>
    <row r="27" spans="1:20" ht="51">
      <c r="A27" s="860"/>
      <c r="B27" s="862"/>
      <c r="C27" s="862"/>
      <c r="D27" s="807"/>
      <c r="E27" s="867"/>
      <c r="F27" s="876"/>
      <c r="G27" s="881"/>
      <c r="H27" s="836"/>
      <c r="I27" s="946"/>
      <c r="J27" s="184" t="s">
        <v>153</v>
      </c>
      <c r="K27" s="950"/>
      <c r="L27" s="193">
        <v>1760</v>
      </c>
      <c r="M27" s="185">
        <f t="shared" si="0"/>
        <v>0</v>
      </c>
      <c r="N27" s="194">
        <v>0</v>
      </c>
      <c r="O27" s="143"/>
      <c r="P27" s="183">
        <f t="shared" si="1"/>
        <v>0</v>
      </c>
      <c r="Q27" s="828"/>
      <c r="R27" s="589" t="s">
        <v>549</v>
      </c>
      <c r="S27" s="376">
        <f t="shared" si="2"/>
        <v>1</v>
      </c>
      <c r="T27" s="5">
        <f t="shared" si="3"/>
        <v>1760</v>
      </c>
    </row>
    <row r="28" spans="1:20" ht="87">
      <c r="A28" s="860"/>
      <c r="B28" s="862"/>
      <c r="C28" s="862"/>
      <c r="D28" s="807"/>
      <c r="E28" s="867"/>
      <c r="F28" s="876"/>
      <c r="G28" s="881"/>
      <c r="H28" s="836"/>
      <c r="I28" s="946"/>
      <c r="J28" s="184" t="s">
        <v>139</v>
      </c>
      <c r="K28" s="949" t="s">
        <v>246</v>
      </c>
      <c r="L28" s="185">
        <v>203970</v>
      </c>
      <c r="M28" s="185">
        <f t="shared" si="0"/>
        <v>1020</v>
      </c>
      <c r="N28" s="189">
        <v>1020</v>
      </c>
      <c r="O28" s="187"/>
      <c r="P28" s="183">
        <f t="shared" si="1"/>
        <v>0.005000735402265039</v>
      </c>
      <c r="Q28" s="828"/>
      <c r="R28" s="589" t="s">
        <v>550</v>
      </c>
      <c r="S28" s="376">
        <f t="shared" si="2"/>
        <v>0.9949992645977349</v>
      </c>
      <c r="T28" s="5">
        <f t="shared" si="3"/>
        <v>202950</v>
      </c>
    </row>
    <row r="29" spans="1:20" ht="51">
      <c r="A29" s="860"/>
      <c r="B29" s="862"/>
      <c r="C29" s="862"/>
      <c r="D29" s="807"/>
      <c r="E29" s="867"/>
      <c r="F29" s="876"/>
      <c r="G29" s="881"/>
      <c r="H29" s="836"/>
      <c r="I29" s="946"/>
      <c r="J29" s="184" t="s">
        <v>153</v>
      </c>
      <c r="K29" s="950"/>
      <c r="L29" s="193">
        <v>62628</v>
      </c>
      <c r="M29" s="185">
        <f t="shared" si="0"/>
        <v>0</v>
      </c>
      <c r="N29" s="194">
        <v>0</v>
      </c>
      <c r="O29" s="143"/>
      <c r="P29" s="183">
        <f t="shared" si="1"/>
        <v>0</v>
      </c>
      <c r="Q29" s="828"/>
      <c r="R29" s="589" t="s">
        <v>551</v>
      </c>
      <c r="S29" s="376">
        <f t="shared" si="2"/>
        <v>1</v>
      </c>
      <c r="T29" s="5">
        <f t="shared" si="3"/>
        <v>62628</v>
      </c>
    </row>
    <row r="30" spans="1:20" ht="237">
      <c r="A30" s="860"/>
      <c r="B30" s="862"/>
      <c r="C30" s="862"/>
      <c r="D30" s="807"/>
      <c r="E30" s="867"/>
      <c r="F30" s="876"/>
      <c r="G30" s="881"/>
      <c r="H30" s="836"/>
      <c r="I30" s="946"/>
      <c r="J30" s="184" t="s">
        <v>145</v>
      </c>
      <c r="K30" s="787" t="s">
        <v>240</v>
      </c>
      <c r="L30" s="185">
        <v>54643</v>
      </c>
      <c r="M30" s="185">
        <v>13661</v>
      </c>
      <c r="N30" s="194">
        <v>13661</v>
      </c>
      <c r="O30" s="187"/>
      <c r="P30" s="183">
        <f t="shared" si="1"/>
        <v>0.25000457515143754</v>
      </c>
      <c r="Q30" s="828"/>
      <c r="R30" s="589" t="s">
        <v>552</v>
      </c>
      <c r="S30" s="376">
        <f t="shared" si="2"/>
        <v>0.7499954248485625</v>
      </c>
      <c r="T30" s="5">
        <f t="shared" si="3"/>
        <v>40982</v>
      </c>
    </row>
    <row r="31" spans="1:20" ht="117">
      <c r="A31" s="860"/>
      <c r="B31" s="862"/>
      <c r="C31" s="862"/>
      <c r="D31" s="807"/>
      <c r="E31" s="867"/>
      <c r="F31" s="876"/>
      <c r="G31" s="881"/>
      <c r="H31" s="836"/>
      <c r="I31" s="946"/>
      <c r="J31" s="184" t="s">
        <v>153</v>
      </c>
      <c r="K31" s="847"/>
      <c r="L31" s="193">
        <v>54643</v>
      </c>
      <c r="M31" s="185">
        <v>2536</v>
      </c>
      <c r="N31" s="194">
        <v>2536</v>
      </c>
      <c r="O31" s="143"/>
      <c r="P31" s="183">
        <f t="shared" si="1"/>
        <v>0.04641033618212763</v>
      </c>
      <c r="Q31" s="828"/>
      <c r="R31" s="589" t="s">
        <v>553</v>
      </c>
      <c r="S31" s="376">
        <f t="shared" si="2"/>
        <v>0.9535896638178724</v>
      </c>
      <c r="T31" s="5">
        <f t="shared" si="3"/>
        <v>52107</v>
      </c>
    </row>
    <row r="32" spans="1:20" ht="309.75" customHeight="1">
      <c r="A32" s="860"/>
      <c r="B32" s="862"/>
      <c r="C32" s="862"/>
      <c r="D32" s="807"/>
      <c r="E32" s="867"/>
      <c r="F32" s="876"/>
      <c r="G32" s="881"/>
      <c r="H32" s="836"/>
      <c r="I32" s="946"/>
      <c r="J32" s="184" t="s">
        <v>145</v>
      </c>
      <c r="K32" s="949" t="s">
        <v>337</v>
      </c>
      <c r="L32" s="185">
        <v>474280.44</v>
      </c>
      <c r="M32" s="185">
        <f t="shared" si="0"/>
        <v>13849</v>
      </c>
      <c r="N32" s="194">
        <v>13849</v>
      </c>
      <c r="O32" s="314"/>
      <c r="P32" s="183">
        <f t="shared" si="1"/>
        <v>0.029200023513514493</v>
      </c>
      <c r="Q32" s="829"/>
      <c r="R32" s="321" t="s">
        <v>514</v>
      </c>
      <c r="S32" s="376">
        <f t="shared" si="2"/>
        <v>0.9707999764864855</v>
      </c>
      <c r="T32" s="5">
        <f t="shared" si="3"/>
        <v>460431.44</v>
      </c>
    </row>
    <row r="33" spans="1:20" ht="298.5" customHeight="1">
      <c r="A33" s="777"/>
      <c r="B33" s="782"/>
      <c r="C33" s="782"/>
      <c r="D33" s="782"/>
      <c r="E33" s="782"/>
      <c r="F33" s="784"/>
      <c r="G33" s="822"/>
      <c r="H33" s="824"/>
      <c r="I33" s="782"/>
      <c r="J33" s="469" t="s">
        <v>448</v>
      </c>
      <c r="K33" s="967"/>
      <c r="L33" s="413">
        <v>13849</v>
      </c>
      <c r="M33" s="413">
        <v>13849</v>
      </c>
      <c r="N33" s="194">
        <v>13849</v>
      </c>
      <c r="O33" s="314"/>
      <c r="P33" s="467">
        <f t="shared" si="1"/>
        <v>1</v>
      </c>
      <c r="Q33" s="537">
        <f>SUM(M33/G24)</f>
        <v>0.002034832019121644</v>
      </c>
      <c r="R33" s="321" t="s">
        <v>646</v>
      </c>
      <c r="S33" s="376"/>
      <c r="T33" s="5"/>
    </row>
    <row r="34" spans="1:20" ht="45">
      <c r="A34" s="776">
        <v>5</v>
      </c>
      <c r="B34" s="864" t="s">
        <v>4</v>
      </c>
      <c r="C34" s="864" t="s">
        <v>178</v>
      </c>
      <c r="D34" s="887" t="s">
        <v>621</v>
      </c>
      <c r="E34" s="874" t="s">
        <v>45</v>
      </c>
      <c r="F34" s="875" t="s">
        <v>10</v>
      </c>
      <c r="G34" s="880">
        <v>6348047.63</v>
      </c>
      <c r="H34" s="969" t="s">
        <v>508</v>
      </c>
      <c r="I34" s="945" t="s">
        <v>242</v>
      </c>
      <c r="J34" s="184" t="s">
        <v>159</v>
      </c>
      <c r="K34" s="195" t="s">
        <v>246</v>
      </c>
      <c r="L34" s="193">
        <v>66</v>
      </c>
      <c r="M34" s="185">
        <f t="shared" si="0"/>
        <v>66</v>
      </c>
      <c r="N34" s="194">
        <v>66</v>
      </c>
      <c r="O34" s="143"/>
      <c r="P34" s="183">
        <f t="shared" si="1"/>
        <v>1</v>
      </c>
      <c r="Q34" s="796">
        <f>(M34+M35+M36+M37+M38)/G34</f>
        <v>0.09912458706614966</v>
      </c>
      <c r="R34" s="321" t="s">
        <v>554</v>
      </c>
      <c r="S34" s="376">
        <f t="shared" si="2"/>
        <v>0</v>
      </c>
      <c r="T34" s="5">
        <f t="shared" si="3"/>
        <v>0</v>
      </c>
    </row>
    <row r="35" spans="1:20" ht="162">
      <c r="A35" s="860"/>
      <c r="B35" s="862"/>
      <c r="C35" s="862"/>
      <c r="D35" s="807"/>
      <c r="E35" s="867"/>
      <c r="F35" s="876"/>
      <c r="G35" s="881"/>
      <c r="H35" s="836"/>
      <c r="I35" s="946"/>
      <c r="J35" s="184" t="s">
        <v>159</v>
      </c>
      <c r="K35" s="787" t="s">
        <v>240</v>
      </c>
      <c r="L35" s="193">
        <v>54937</v>
      </c>
      <c r="M35" s="185">
        <v>13734</v>
      </c>
      <c r="N35" s="194">
        <v>13734</v>
      </c>
      <c r="O35" s="143"/>
      <c r="P35" s="183">
        <f t="shared" si="1"/>
        <v>0.2499954493328722</v>
      </c>
      <c r="Q35" s="993"/>
      <c r="R35" s="321" t="s">
        <v>555</v>
      </c>
      <c r="S35" s="376">
        <f t="shared" si="2"/>
        <v>0.7500045506671278</v>
      </c>
      <c r="T35" s="5">
        <f t="shared" si="3"/>
        <v>41203</v>
      </c>
    </row>
    <row r="36" spans="1:20" ht="107.25" customHeight="1">
      <c r="A36" s="860"/>
      <c r="B36" s="862"/>
      <c r="C36" s="862"/>
      <c r="D36" s="807"/>
      <c r="E36" s="867"/>
      <c r="F36" s="876"/>
      <c r="G36" s="881"/>
      <c r="H36" s="836"/>
      <c r="I36" s="946"/>
      <c r="J36" s="184" t="s">
        <v>153</v>
      </c>
      <c r="K36" s="847"/>
      <c r="L36" s="193">
        <v>54937</v>
      </c>
      <c r="M36" s="185">
        <v>2550</v>
      </c>
      <c r="N36" s="194">
        <v>2550</v>
      </c>
      <c r="O36" s="143"/>
      <c r="P36" s="183">
        <f t="shared" si="1"/>
        <v>0.04641680470356954</v>
      </c>
      <c r="Q36" s="993"/>
      <c r="R36" s="321" t="s">
        <v>556</v>
      </c>
      <c r="S36" s="376">
        <f t="shared" si="2"/>
        <v>0.9535831952964304</v>
      </c>
      <c r="T36" s="5">
        <f t="shared" si="3"/>
        <v>52387</v>
      </c>
    </row>
    <row r="37" spans="1:20" ht="31.5" customHeight="1">
      <c r="A37" s="860"/>
      <c r="B37" s="862"/>
      <c r="C37" s="862"/>
      <c r="D37" s="807"/>
      <c r="E37" s="867"/>
      <c r="F37" s="876"/>
      <c r="G37" s="881"/>
      <c r="H37" s="836"/>
      <c r="I37" s="946"/>
      <c r="J37" s="991" t="s">
        <v>440</v>
      </c>
      <c r="K37" s="949" t="s">
        <v>338</v>
      </c>
      <c r="L37" s="800">
        <v>672878.4</v>
      </c>
      <c r="M37" s="185">
        <f>SUM(N37+O37)</f>
        <v>597901.6</v>
      </c>
      <c r="N37" s="320"/>
      <c r="O37" s="216">
        <v>597901.6</v>
      </c>
      <c r="P37" s="796">
        <f>(M37+M38)/L37</f>
        <v>0.9108593766719216</v>
      </c>
      <c r="Q37" s="993"/>
      <c r="R37" s="1003" t="s">
        <v>557</v>
      </c>
      <c r="S37" s="376">
        <f t="shared" si="2"/>
        <v>0.11142696808219739</v>
      </c>
      <c r="T37" s="5">
        <f t="shared" si="3"/>
        <v>74976.80000000005</v>
      </c>
    </row>
    <row r="38" spans="1:20" ht="352.5" customHeight="1">
      <c r="A38" s="826"/>
      <c r="B38" s="807"/>
      <c r="C38" s="807"/>
      <c r="D38" s="807"/>
      <c r="E38" s="807"/>
      <c r="F38" s="882"/>
      <c r="G38" s="883"/>
      <c r="H38" s="836"/>
      <c r="I38" s="807"/>
      <c r="J38" s="992"/>
      <c r="K38" s="968"/>
      <c r="L38" s="801"/>
      <c r="M38" s="413">
        <f t="shared" si="0"/>
        <v>14996</v>
      </c>
      <c r="N38" s="194">
        <v>14996</v>
      </c>
      <c r="O38" s="314"/>
      <c r="P38" s="829"/>
      <c r="Q38" s="994"/>
      <c r="R38" s="1004"/>
      <c r="S38" s="376"/>
      <c r="T38" s="5"/>
    </row>
    <row r="39" spans="1:20" ht="296.25" customHeight="1">
      <c r="A39" s="777"/>
      <c r="B39" s="782"/>
      <c r="C39" s="782"/>
      <c r="D39" s="782"/>
      <c r="E39" s="782"/>
      <c r="F39" s="784"/>
      <c r="G39" s="822"/>
      <c r="H39" s="824"/>
      <c r="I39" s="782"/>
      <c r="J39" s="470" t="s">
        <v>146</v>
      </c>
      <c r="K39" s="789"/>
      <c r="L39" s="471">
        <v>14996</v>
      </c>
      <c r="M39" s="413">
        <v>14996</v>
      </c>
      <c r="N39" s="194">
        <v>14996</v>
      </c>
      <c r="O39" s="314"/>
      <c r="P39" s="467">
        <f>M39/L39</f>
        <v>1</v>
      </c>
      <c r="Q39" s="540">
        <f>M39/G34</f>
        <v>0.0023623011158786784</v>
      </c>
      <c r="R39" s="340" t="s">
        <v>647</v>
      </c>
      <c r="S39" s="376"/>
      <c r="T39" s="5"/>
    </row>
    <row r="40" spans="1:20" ht="165" customHeight="1">
      <c r="A40" s="311">
        <v>6</v>
      </c>
      <c r="B40" s="196" t="s">
        <v>4</v>
      </c>
      <c r="C40" s="196" t="s">
        <v>179</v>
      </c>
      <c r="D40" s="620" t="s">
        <v>620</v>
      </c>
      <c r="E40" s="197" t="s">
        <v>46</v>
      </c>
      <c r="F40" s="198" t="s">
        <v>8</v>
      </c>
      <c r="G40" s="199">
        <v>67542348.04</v>
      </c>
      <c r="H40" s="552" t="s">
        <v>72</v>
      </c>
      <c r="I40" s="200" t="s">
        <v>164</v>
      </c>
      <c r="J40" s="184" t="s">
        <v>138</v>
      </c>
      <c r="K40" s="255" t="s">
        <v>231</v>
      </c>
      <c r="L40" s="185">
        <v>5787124.75</v>
      </c>
      <c r="M40" s="185">
        <f t="shared" si="0"/>
        <v>5759375</v>
      </c>
      <c r="N40" s="320">
        <v>5759375</v>
      </c>
      <c r="O40" s="187"/>
      <c r="P40" s="183">
        <f t="shared" si="1"/>
        <v>0.995204915878131</v>
      </c>
      <c r="Q40" s="538">
        <f>M40/G40</f>
        <v>0.08527057715833593</v>
      </c>
      <c r="R40" s="321" t="s">
        <v>639</v>
      </c>
      <c r="S40" s="376">
        <f t="shared" si="2"/>
        <v>0.004795084121868982</v>
      </c>
      <c r="T40" s="5">
        <f t="shared" si="3"/>
        <v>27749.75</v>
      </c>
    </row>
    <row r="41" spans="1:20" ht="178.5" customHeight="1">
      <c r="A41" s="311">
        <v>7</v>
      </c>
      <c r="B41" s="196" t="s">
        <v>4</v>
      </c>
      <c r="C41" s="196" t="s">
        <v>180</v>
      </c>
      <c r="D41" s="620" t="s">
        <v>620</v>
      </c>
      <c r="E41" s="197" t="s">
        <v>47</v>
      </c>
      <c r="F41" s="198" t="s">
        <v>8</v>
      </c>
      <c r="G41" s="199">
        <v>109809294.19</v>
      </c>
      <c r="H41" s="552"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515</v>
      </c>
      <c r="S41" s="376">
        <f t="shared" si="2"/>
        <v>0.0009805728291571733</v>
      </c>
      <c r="T41" s="5">
        <f t="shared" si="3"/>
        <v>4624.320000000298</v>
      </c>
    </row>
    <row r="42" spans="1:20" ht="34.5" customHeight="1">
      <c r="A42" s="776">
        <v>8</v>
      </c>
      <c r="B42" s="864" t="s">
        <v>4</v>
      </c>
      <c r="C42" s="864" t="s">
        <v>181</v>
      </c>
      <c r="D42" s="887" t="s">
        <v>622</v>
      </c>
      <c r="E42" s="864" t="s">
        <v>48</v>
      </c>
      <c r="F42" s="864" t="s">
        <v>16</v>
      </c>
      <c r="G42" s="871">
        <v>5213341.56</v>
      </c>
      <c r="H42" s="893" t="s">
        <v>509</v>
      </c>
      <c r="I42" s="864" t="s">
        <v>249</v>
      </c>
      <c r="J42" s="839" t="s">
        <v>139</v>
      </c>
      <c r="K42" s="856" t="s">
        <v>428</v>
      </c>
      <c r="L42" s="800">
        <v>3263660</v>
      </c>
      <c r="M42" s="800">
        <f t="shared" si="0"/>
        <v>979098</v>
      </c>
      <c r="N42" s="816">
        <v>979098</v>
      </c>
      <c r="O42" s="797">
        <v>0</v>
      </c>
      <c r="P42" s="796">
        <f t="shared" si="1"/>
        <v>0.3</v>
      </c>
      <c r="Q42" s="796">
        <f>(M42+M46)/G42</f>
        <v>0.1941361386649679</v>
      </c>
      <c r="R42" s="848" t="s">
        <v>644</v>
      </c>
      <c r="S42" s="376">
        <f t="shared" si="2"/>
        <v>0.7</v>
      </c>
      <c r="T42" s="5">
        <f t="shared" si="3"/>
        <v>2284562</v>
      </c>
    </row>
    <row r="43" spans="1:20" ht="409.5" customHeight="1">
      <c r="A43" s="860"/>
      <c r="B43" s="862"/>
      <c r="C43" s="862"/>
      <c r="D43" s="807"/>
      <c r="E43" s="862"/>
      <c r="F43" s="862"/>
      <c r="G43" s="872"/>
      <c r="H43" s="894"/>
      <c r="I43" s="862"/>
      <c r="J43" s="807"/>
      <c r="K43" s="788"/>
      <c r="L43" s="853"/>
      <c r="M43" s="853"/>
      <c r="N43" s="854"/>
      <c r="O43" s="855"/>
      <c r="P43" s="827"/>
      <c r="Q43" s="828"/>
      <c r="R43" s="849"/>
      <c r="S43" s="376"/>
      <c r="T43" s="5"/>
    </row>
    <row r="44" spans="1:20" ht="113.25" customHeight="1">
      <c r="A44" s="860"/>
      <c r="B44" s="862"/>
      <c r="C44" s="862"/>
      <c r="D44" s="807"/>
      <c r="E44" s="862"/>
      <c r="F44" s="862"/>
      <c r="G44" s="872"/>
      <c r="H44" s="894"/>
      <c r="I44" s="862"/>
      <c r="J44" s="782"/>
      <c r="K44" s="788"/>
      <c r="L44" s="801"/>
      <c r="M44" s="801"/>
      <c r="N44" s="817"/>
      <c r="O44" s="792"/>
      <c r="P44" s="794"/>
      <c r="Q44" s="828"/>
      <c r="R44" s="849"/>
      <c r="S44" s="376"/>
      <c r="T44" s="5"/>
    </row>
    <row r="45" spans="1:20" ht="144" customHeight="1">
      <c r="A45" s="860"/>
      <c r="B45" s="862"/>
      <c r="C45" s="862"/>
      <c r="D45" s="807"/>
      <c r="E45" s="862"/>
      <c r="F45" s="862"/>
      <c r="G45" s="872"/>
      <c r="H45" s="894"/>
      <c r="I45" s="862"/>
      <c r="J45" s="629" t="s">
        <v>146</v>
      </c>
      <c r="K45" s="789"/>
      <c r="L45" s="471">
        <v>979098</v>
      </c>
      <c r="M45" s="471">
        <v>979098</v>
      </c>
      <c r="N45" s="533">
        <v>979098</v>
      </c>
      <c r="O45" s="630">
        <v>0</v>
      </c>
      <c r="P45" s="540">
        <f>SUM(M45/L45)</f>
        <v>1</v>
      </c>
      <c r="Q45" s="828"/>
      <c r="R45" s="850"/>
      <c r="S45" s="376"/>
      <c r="T45" s="5"/>
    </row>
    <row r="46" spans="1:20" ht="337.5" customHeight="1">
      <c r="A46" s="889"/>
      <c r="B46" s="870"/>
      <c r="C46" s="870"/>
      <c r="D46" s="782"/>
      <c r="E46" s="870"/>
      <c r="F46" s="870"/>
      <c r="G46" s="873"/>
      <c r="H46" s="777"/>
      <c r="I46" s="870"/>
      <c r="J46" s="356" t="s">
        <v>30</v>
      </c>
      <c r="K46" s="359" t="s">
        <v>364</v>
      </c>
      <c r="L46" s="357">
        <v>35000</v>
      </c>
      <c r="M46" s="357">
        <v>33000</v>
      </c>
      <c r="N46" s="189">
        <v>33000</v>
      </c>
      <c r="O46" s="187"/>
      <c r="P46" s="355">
        <f t="shared" si="1"/>
        <v>0.9428571428571428</v>
      </c>
      <c r="Q46" s="829"/>
      <c r="R46" s="358" t="s">
        <v>643</v>
      </c>
      <c r="S46" s="376">
        <f t="shared" si="2"/>
        <v>0.05714285714285714</v>
      </c>
      <c r="T46" s="5">
        <f t="shared" si="3"/>
        <v>2000</v>
      </c>
    </row>
    <row r="47" spans="1:20" ht="65.25" customHeight="1">
      <c r="A47" s="776">
        <v>9</v>
      </c>
      <c r="B47" s="864" t="s">
        <v>4</v>
      </c>
      <c r="C47" s="865" t="s">
        <v>182</v>
      </c>
      <c r="D47" s="887" t="s">
        <v>622</v>
      </c>
      <c r="E47" s="866" t="s">
        <v>49</v>
      </c>
      <c r="F47" s="783" t="s">
        <v>16</v>
      </c>
      <c r="G47" s="809">
        <v>7683717.46</v>
      </c>
      <c r="H47" s="834" t="s">
        <v>509</v>
      </c>
      <c r="I47" s="865" t="s">
        <v>250</v>
      </c>
      <c r="J47" s="201" t="s">
        <v>139</v>
      </c>
      <c r="K47" s="851" t="s">
        <v>304</v>
      </c>
      <c r="L47" s="185">
        <v>994</v>
      </c>
      <c r="M47" s="185">
        <f t="shared" si="0"/>
        <v>994</v>
      </c>
      <c r="N47" s="189">
        <v>994</v>
      </c>
      <c r="O47" s="187"/>
      <c r="P47" s="183">
        <f t="shared" si="1"/>
        <v>1</v>
      </c>
      <c r="Q47" s="796">
        <f>(M47+M48+M49)/G47</f>
        <v>0.13147646373764504</v>
      </c>
      <c r="R47" s="857" t="s">
        <v>558</v>
      </c>
      <c r="S47" s="376">
        <f t="shared" si="2"/>
        <v>0</v>
      </c>
      <c r="T47" s="5">
        <f t="shared" si="3"/>
        <v>0</v>
      </c>
    </row>
    <row r="48" spans="1:20" ht="104.25" customHeight="1">
      <c r="A48" s="860"/>
      <c r="B48" s="862"/>
      <c r="C48" s="862"/>
      <c r="D48" s="807"/>
      <c r="E48" s="867"/>
      <c r="F48" s="868"/>
      <c r="G48" s="869"/>
      <c r="H48" s="836"/>
      <c r="I48" s="862"/>
      <c r="J48" s="347" t="s">
        <v>153</v>
      </c>
      <c r="K48" s="852"/>
      <c r="L48" s="348">
        <v>924</v>
      </c>
      <c r="M48" s="348">
        <v>924</v>
      </c>
      <c r="N48" s="189">
        <v>924</v>
      </c>
      <c r="O48" s="187"/>
      <c r="P48" s="346">
        <f t="shared" si="1"/>
        <v>1</v>
      </c>
      <c r="Q48" s="828"/>
      <c r="R48" s="858"/>
      <c r="S48" s="376">
        <f t="shared" si="2"/>
        <v>0</v>
      </c>
      <c r="T48" s="5">
        <f t="shared" si="3"/>
        <v>0</v>
      </c>
    </row>
    <row r="49" spans="1:20" ht="292.5" customHeight="1">
      <c r="A49" s="860"/>
      <c r="B49" s="862"/>
      <c r="C49" s="862"/>
      <c r="D49" s="807"/>
      <c r="E49" s="867"/>
      <c r="F49" s="868"/>
      <c r="G49" s="869"/>
      <c r="H49" s="836"/>
      <c r="I49" s="862"/>
      <c r="J49" s="201" t="s">
        <v>139</v>
      </c>
      <c r="K49" s="202" t="s">
        <v>232</v>
      </c>
      <c r="L49" s="185">
        <v>4033239.72</v>
      </c>
      <c r="M49" s="185">
        <f t="shared" si="0"/>
        <v>1008310</v>
      </c>
      <c r="N49" s="388">
        <v>1008310</v>
      </c>
      <c r="O49" s="187"/>
      <c r="P49" s="183">
        <f t="shared" si="1"/>
        <v>0.2500000173557747</v>
      </c>
      <c r="Q49" s="828"/>
      <c r="R49" s="321" t="s">
        <v>699</v>
      </c>
      <c r="S49" s="376">
        <f t="shared" si="2"/>
        <v>0.7499999826442253</v>
      </c>
      <c r="T49" s="5">
        <f t="shared" si="3"/>
        <v>3024929.72</v>
      </c>
    </row>
    <row r="50" spans="1:20" ht="79.5" customHeight="1">
      <c r="A50" s="777"/>
      <c r="B50" s="782"/>
      <c r="C50" s="782"/>
      <c r="D50" s="782"/>
      <c r="E50" s="782"/>
      <c r="F50" s="784"/>
      <c r="G50" s="822"/>
      <c r="H50" s="824"/>
      <c r="I50" s="782"/>
      <c r="J50" s="503" t="s">
        <v>458</v>
      </c>
      <c r="K50" s="202" t="s">
        <v>232</v>
      </c>
      <c r="L50" s="413">
        <v>0</v>
      </c>
      <c r="M50" s="413">
        <v>0</v>
      </c>
      <c r="N50" s="186"/>
      <c r="O50" s="187"/>
      <c r="P50" s="502">
        <v>0</v>
      </c>
      <c r="Q50" s="794"/>
      <c r="R50" s="321" t="s">
        <v>559</v>
      </c>
      <c r="S50" s="376"/>
      <c r="T50" s="5"/>
    </row>
    <row r="51" spans="1:20" ht="255" customHeight="1">
      <c r="A51" s="776">
        <v>10</v>
      </c>
      <c r="B51" s="864" t="s">
        <v>4</v>
      </c>
      <c r="C51" s="864" t="s">
        <v>183</v>
      </c>
      <c r="D51" s="887" t="s">
        <v>623</v>
      </c>
      <c r="E51" s="874" t="s">
        <v>50</v>
      </c>
      <c r="F51" s="783" t="s">
        <v>16</v>
      </c>
      <c r="G51" s="809">
        <v>13179425.42</v>
      </c>
      <c r="H51" s="834" t="s">
        <v>72</v>
      </c>
      <c r="I51" s="864" t="s">
        <v>165</v>
      </c>
      <c r="J51" s="184" t="s">
        <v>139</v>
      </c>
      <c r="K51" s="787" t="s">
        <v>233</v>
      </c>
      <c r="L51" s="185">
        <v>101336.35</v>
      </c>
      <c r="M51" s="214">
        <v>20267.27</v>
      </c>
      <c r="N51" s="388">
        <v>20267.27</v>
      </c>
      <c r="O51" s="187"/>
      <c r="P51" s="183">
        <f t="shared" si="1"/>
        <v>0.19999999999999998</v>
      </c>
      <c r="Q51" s="796">
        <f>M51/G51</f>
        <v>0.0015377961750323407</v>
      </c>
      <c r="R51" s="321" t="s">
        <v>713</v>
      </c>
      <c r="S51" s="376">
        <f t="shared" si="2"/>
        <v>0.7999999999999999</v>
      </c>
      <c r="T51" s="5">
        <f t="shared" si="3"/>
        <v>81069.08</v>
      </c>
    </row>
    <row r="52" spans="1:20" ht="61.5" customHeight="1">
      <c r="A52" s="889"/>
      <c r="B52" s="870"/>
      <c r="C52" s="870"/>
      <c r="D52" s="782"/>
      <c r="E52" s="924"/>
      <c r="F52" s="953"/>
      <c r="G52" s="810"/>
      <c r="H52" s="824"/>
      <c r="I52" s="870"/>
      <c r="J52" s="368" t="s">
        <v>30</v>
      </c>
      <c r="K52" s="847"/>
      <c r="L52" s="370">
        <v>0</v>
      </c>
      <c r="M52" s="214">
        <v>0</v>
      </c>
      <c r="N52" s="186"/>
      <c r="O52" s="187"/>
      <c r="P52" s="369">
        <v>0</v>
      </c>
      <c r="Q52" s="829"/>
      <c r="R52" s="321" t="s">
        <v>560</v>
      </c>
      <c r="S52" s="376" t="e">
        <f t="shared" si="2"/>
        <v>#DIV/0!</v>
      </c>
      <c r="T52" s="5">
        <f t="shared" si="3"/>
        <v>0</v>
      </c>
    </row>
    <row r="53" spans="1:20" ht="344.25" customHeight="1">
      <c r="A53" s="776">
        <v>11</v>
      </c>
      <c r="B53" s="864" t="s">
        <v>4</v>
      </c>
      <c r="C53" s="888" t="s">
        <v>184</v>
      </c>
      <c r="D53" s="887" t="s">
        <v>623</v>
      </c>
      <c r="E53" s="874" t="s">
        <v>51</v>
      </c>
      <c r="F53" s="783" t="s">
        <v>16</v>
      </c>
      <c r="G53" s="809">
        <v>11568526.63</v>
      </c>
      <c r="H53" s="834" t="s">
        <v>72</v>
      </c>
      <c r="I53" s="864" t="s">
        <v>165</v>
      </c>
      <c r="J53" s="184" t="s">
        <v>139</v>
      </c>
      <c r="K53" s="787" t="s">
        <v>234</v>
      </c>
      <c r="L53" s="185">
        <v>2675450.1</v>
      </c>
      <c r="M53" s="400">
        <v>2318723.42</v>
      </c>
      <c r="N53" s="388">
        <v>2318723.42</v>
      </c>
      <c r="O53" s="187"/>
      <c r="P53" s="183">
        <f t="shared" si="1"/>
        <v>0.8666666666666666</v>
      </c>
      <c r="Q53" s="796">
        <f>M53/G53</f>
        <v>0.20043377122778855</v>
      </c>
      <c r="R53" s="321" t="s">
        <v>714</v>
      </c>
      <c r="S53" s="376">
        <f t="shared" si="2"/>
        <v>0.1333333333333334</v>
      </c>
      <c r="T53" s="5">
        <f t="shared" si="3"/>
        <v>356726.68000000017</v>
      </c>
    </row>
    <row r="54" spans="1:20" ht="69" customHeight="1">
      <c r="A54" s="889"/>
      <c r="B54" s="870"/>
      <c r="C54" s="870"/>
      <c r="D54" s="782"/>
      <c r="E54" s="924"/>
      <c r="F54" s="953"/>
      <c r="G54" s="810"/>
      <c r="H54" s="824"/>
      <c r="I54" s="870"/>
      <c r="J54" s="368" t="s">
        <v>30</v>
      </c>
      <c r="K54" s="847"/>
      <c r="L54" s="370">
        <v>0</v>
      </c>
      <c r="M54" s="214">
        <v>0</v>
      </c>
      <c r="N54" s="186"/>
      <c r="O54" s="187"/>
      <c r="P54" s="369">
        <v>0</v>
      </c>
      <c r="Q54" s="829"/>
      <c r="R54" s="321" t="s">
        <v>561</v>
      </c>
      <c r="S54" s="376" t="e">
        <f t="shared" si="2"/>
        <v>#DIV/0!</v>
      </c>
      <c r="T54" s="5">
        <f t="shared" si="3"/>
        <v>0</v>
      </c>
    </row>
    <row r="55" spans="1:20" ht="75">
      <c r="A55" s="776">
        <v>12</v>
      </c>
      <c r="B55" s="864" t="s">
        <v>4</v>
      </c>
      <c r="C55" s="865" t="s">
        <v>185</v>
      </c>
      <c r="D55" s="887" t="s">
        <v>619</v>
      </c>
      <c r="E55" s="781" t="s">
        <v>362</v>
      </c>
      <c r="F55" s="875" t="s">
        <v>8</v>
      </c>
      <c r="G55" s="899">
        <v>87687163</v>
      </c>
      <c r="H55" s="896" t="s">
        <v>72</v>
      </c>
      <c r="I55" s="890" t="s">
        <v>384</v>
      </c>
      <c r="J55" s="184" t="s">
        <v>150</v>
      </c>
      <c r="K55" s="195" t="s">
        <v>247</v>
      </c>
      <c r="L55" s="185">
        <v>4318559.55</v>
      </c>
      <c r="M55" s="185">
        <f t="shared" si="0"/>
        <v>0</v>
      </c>
      <c r="N55" s="189">
        <v>0</v>
      </c>
      <c r="O55" s="187"/>
      <c r="P55" s="183">
        <f t="shared" si="1"/>
        <v>0</v>
      </c>
      <c r="Q55" s="796">
        <f>(M55+M56+M57+M58+M59+M60+M61+M62)/G55</f>
        <v>0.8510924950325968</v>
      </c>
      <c r="R55" s="446" t="s">
        <v>444</v>
      </c>
      <c r="S55" s="376">
        <f t="shared" si="2"/>
        <v>1</v>
      </c>
      <c r="T55" s="5">
        <f t="shared" si="3"/>
        <v>4318559.55</v>
      </c>
    </row>
    <row r="56" spans="1:20" ht="30">
      <c r="A56" s="860"/>
      <c r="B56" s="862"/>
      <c r="C56" s="862"/>
      <c r="D56" s="807"/>
      <c r="E56" s="885"/>
      <c r="F56" s="876"/>
      <c r="G56" s="900"/>
      <c r="H56" s="832"/>
      <c r="I56" s="891"/>
      <c r="J56" s="184" t="s">
        <v>152</v>
      </c>
      <c r="K56" s="846"/>
      <c r="L56" s="185">
        <v>797744</v>
      </c>
      <c r="M56" s="185">
        <f t="shared" si="0"/>
        <v>0</v>
      </c>
      <c r="N56" s="189">
        <v>0</v>
      </c>
      <c r="O56" s="190"/>
      <c r="P56" s="183">
        <f t="shared" si="1"/>
        <v>0</v>
      </c>
      <c r="Q56" s="828"/>
      <c r="R56" s="188" t="s">
        <v>226</v>
      </c>
      <c r="S56" s="376">
        <f aca="true" t="shared" si="4" ref="S56:S115">T56/L56</f>
        <v>1</v>
      </c>
      <c r="T56" s="5">
        <f aca="true" t="shared" si="5" ref="T56:T115">L56-M56</f>
        <v>797744</v>
      </c>
    </row>
    <row r="57" spans="1:20" ht="30">
      <c r="A57" s="860"/>
      <c r="B57" s="862"/>
      <c r="C57" s="862"/>
      <c r="D57" s="807"/>
      <c r="E57" s="885"/>
      <c r="F57" s="876"/>
      <c r="G57" s="900"/>
      <c r="H57" s="832"/>
      <c r="I57" s="891"/>
      <c r="J57" s="184" t="s">
        <v>155</v>
      </c>
      <c r="K57" s="847"/>
      <c r="L57" s="185">
        <v>25801</v>
      </c>
      <c r="M57" s="185">
        <v>25801</v>
      </c>
      <c r="N57" s="189">
        <v>25801</v>
      </c>
      <c r="O57" s="190"/>
      <c r="P57" s="183">
        <f t="shared" si="1"/>
        <v>1</v>
      </c>
      <c r="Q57" s="828"/>
      <c r="R57" s="188" t="s">
        <v>227</v>
      </c>
      <c r="S57" s="376">
        <f t="shared" si="4"/>
        <v>0</v>
      </c>
      <c r="T57" s="5">
        <f t="shared" si="5"/>
        <v>0</v>
      </c>
    </row>
    <row r="58" spans="1:20" ht="63.75" customHeight="1">
      <c r="A58" s="860"/>
      <c r="B58" s="862"/>
      <c r="C58" s="862"/>
      <c r="D58" s="807"/>
      <c r="E58" s="885"/>
      <c r="F58" s="876"/>
      <c r="G58" s="900"/>
      <c r="H58" s="832"/>
      <c r="I58" s="891"/>
      <c r="J58" s="839" t="s">
        <v>138</v>
      </c>
      <c r="K58" s="905" t="s">
        <v>456</v>
      </c>
      <c r="L58" s="800">
        <v>63267368</v>
      </c>
      <c r="M58" s="413">
        <v>1225412</v>
      </c>
      <c r="N58" s="189">
        <v>1225412</v>
      </c>
      <c r="O58" s="190"/>
      <c r="P58" s="796">
        <f>(M58+M59+M60)/L58</f>
        <v>0.9999999971549315</v>
      </c>
      <c r="Q58" s="828"/>
      <c r="R58" s="188" t="s">
        <v>229</v>
      </c>
      <c r="S58" s="376"/>
      <c r="T58" s="5"/>
    </row>
    <row r="59" spans="1:20" ht="261.75" customHeight="1">
      <c r="A59" s="860"/>
      <c r="B59" s="862"/>
      <c r="C59" s="862"/>
      <c r="D59" s="807"/>
      <c r="E59" s="885"/>
      <c r="F59" s="876"/>
      <c r="G59" s="900"/>
      <c r="H59" s="832"/>
      <c r="I59" s="891"/>
      <c r="J59" s="807"/>
      <c r="K59" s="906"/>
      <c r="L59" s="853"/>
      <c r="M59" s="185">
        <f t="shared" si="0"/>
        <v>62039804.6</v>
      </c>
      <c r="N59" s="192">
        <v>62039804.6</v>
      </c>
      <c r="O59" s="187"/>
      <c r="P59" s="827"/>
      <c r="Q59" s="828"/>
      <c r="R59" s="321" t="s">
        <v>516</v>
      </c>
      <c r="S59" s="376">
        <f>T59/L58</f>
        <v>0.019402789128196363</v>
      </c>
      <c r="T59" s="5">
        <f>L58-M59</f>
        <v>1227563.3999999985</v>
      </c>
    </row>
    <row r="60" spans="1:20" ht="54" customHeight="1">
      <c r="A60" s="860"/>
      <c r="B60" s="862"/>
      <c r="C60" s="862"/>
      <c r="D60" s="807"/>
      <c r="E60" s="885"/>
      <c r="F60" s="876"/>
      <c r="G60" s="900"/>
      <c r="H60" s="832"/>
      <c r="I60" s="891"/>
      <c r="J60" s="782"/>
      <c r="K60" s="907"/>
      <c r="L60" s="801"/>
      <c r="M60" s="413">
        <v>2151.22</v>
      </c>
      <c r="N60" s="484">
        <v>2151.22</v>
      </c>
      <c r="O60" s="187"/>
      <c r="P60" s="794"/>
      <c r="Q60" s="828"/>
      <c r="R60" s="475" t="s">
        <v>452</v>
      </c>
      <c r="S60" s="376"/>
      <c r="T60" s="5"/>
    </row>
    <row r="61" spans="1:20" ht="79.5" customHeight="1">
      <c r="A61" s="860"/>
      <c r="B61" s="862"/>
      <c r="C61" s="862"/>
      <c r="D61" s="807"/>
      <c r="E61" s="885"/>
      <c r="F61" s="876"/>
      <c r="G61" s="900"/>
      <c r="H61" s="832"/>
      <c r="I61" s="891"/>
      <c r="J61" s="483" t="s">
        <v>143</v>
      </c>
      <c r="K61" s="195" t="s">
        <v>248</v>
      </c>
      <c r="L61" s="185">
        <v>11336717.52</v>
      </c>
      <c r="M61" s="185">
        <f t="shared" si="0"/>
        <v>11336717.52</v>
      </c>
      <c r="N61" s="186"/>
      <c r="O61" s="203">
        <v>11336717.52</v>
      </c>
      <c r="P61" s="183">
        <f t="shared" si="1"/>
        <v>1</v>
      </c>
      <c r="Q61" s="828"/>
      <c r="R61" s="554" t="s">
        <v>517</v>
      </c>
      <c r="S61" s="376">
        <f t="shared" si="4"/>
        <v>0</v>
      </c>
      <c r="T61" s="5">
        <f t="shared" si="5"/>
        <v>0</v>
      </c>
    </row>
    <row r="62" spans="1:20" ht="78" customHeight="1">
      <c r="A62" s="889"/>
      <c r="B62" s="870"/>
      <c r="C62" s="870"/>
      <c r="D62" s="782"/>
      <c r="E62" s="886"/>
      <c r="F62" s="916"/>
      <c r="G62" s="901"/>
      <c r="H62" s="833"/>
      <c r="I62" s="892"/>
      <c r="J62" s="365" t="s">
        <v>30</v>
      </c>
      <c r="K62" s="367" t="s">
        <v>387</v>
      </c>
      <c r="L62" s="366">
        <v>0</v>
      </c>
      <c r="M62" s="366">
        <v>0</v>
      </c>
      <c r="N62" s="186"/>
      <c r="O62" s="203"/>
      <c r="P62" s="364">
        <v>0</v>
      </c>
      <c r="Q62" s="829"/>
      <c r="R62" s="590" t="s">
        <v>562</v>
      </c>
      <c r="S62" s="376" t="e">
        <f t="shared" si="4"/>
        <v>#DIV/0!</v>
      </c>
      <c r="T62" s="5">
        <f t="shared" si="5"/>
        <v>0</v>
      </c>
    </row>
    <row r="63" spans="1:20" ht="45">
      <c r="A63" s="776">
        <v>13</v>
      </c>
      <c r="B63" s="864" t="s">
        <v>4</v>
      </c>
      <c r="C63" s="951" t="s">
        <v>20</v>
      </c>
      <c r="D63" s="887" t="s">
        <v>622</v>
      </c>
      <c r="E63" s="952" t="s">
        <v>53</v>
      </c>
      <c r="F63" s="783" t="s">
        <v>16</v>
      </c>
      <c r="G63" s="809">
        <v>1548180.56</v>
      </c>
      <c r="H63" s="897" t="s">
        <v>509</v>
      </c>
      <c r="I63" s="864" t="s">
        <v>250</v>
      </c>
      <c r="J63" s="184" t="s">
        <v>145</v>
      </c>
      <c r="K63" s="787" t="s">
        <v>235</v>
      </c>
      <c r="L63" s="185">
        <v>1105</v>
      </c>
      <c r="M63" s="185">
        <f t="shared" si="0"/>
        <v>940</v>
      </c>
      <c r="N63" s="189">
        <v>940</v>
      </c>
      <c r="O63" s="204"/>
      <c r="P63" s="183">
        <f t="shared" si="1"/>
        <v>0.8506787330316742</v>
      </c>
      <c r="Q63" s="796">
        <f>(M63+M64)/G63</f>
        <v>0.0011788030719104235</v>
      </c>
      <c r="R63" s="857" t="s">
        <v>563</v>
      </c>
      <c r="S63" s="376">
        <f t="shared" si="4"/>
        <v>0.1493212669683258</v>
      </c>
      <c r="T63" s="5">
        <f t="shared" si="5"/>
        <v>165</v>
      </c>
    </row>
    <row r="64" spans="1:20" ht="139.5" customHeight="1">
      <c r="A64" s="889"/>
      <c r="B64" s="870"/>
      <c r="C64" s="870"/>
      <c r="D64" s="782"/>
      <c r="E64" s="924"/>
      <c r="F64" s="953"/>
      <c r="G64" s="810"/>
      <c r="H64" s="824"/>
      <c r="I64" s="870"/>
      <c r="J64" s="322" t="s">
        <v>146</v>
      </c>
      <c r="K64" s="847"/>
      <c r="L64" s="316">
        <v>885</v>
      </c>
      <c r="M64" s="316">
        <f t="shared" si="0"/>
        <v>885</v>
      </c>
      <c r="N64" s="189">
        <v>885</v>
      </c>
      <c r="O64" s="204"/>
      <c r="P64" s="315">
        <f t="shared" si="1"/>
        <v>1</v>
      </c>
      <c r="Q64" s="829"/>
      <c r="R64" s="858"/>
      <c r="S64" s="376">
        <f t="shared" si="4"/>
        <v>0</v>
      </c>
      <c r="T64" s="5">
        <f t="shared" si="5"/>
        <v>0</v>
      </c>
    </row>
    <row r="65" spans="1:20" ht="111">
      <c r="A65" s="311">
        <v>14</v>
      </c>
      <c r="B65" s="196" t="s">
        <v>4</v>
      </c>
      <c r="C65" s="196" t="s">
        <v>186</v>
      </c>
      <c r="D65" s="620" t="s">
        <v>621</v>
      </c>
      <c r="E65" s="254" t="s">
        <v>277</v>
      </c>
      <c r="F65" s="205" t="s">
        <v>10</v>
      </c>
      <c r="G65" s="353">
        <v>24132550</v>
      </c>
      <c r="H65" s="553" t="s">
        <v>507</v>
      </c>
      <c r="I65" s="349" t="s">
        <v>166</v>
      </c>
      <c r="J65" s="236" t="s">
        <v>273</v>
      </c>
      <c r="K65" s="255" t="s">
        <v>282</v>
      </c>
      <c r="L65" s="185">
        <v>43066.02</v>
      </c>
      <c r="M65" s="185">
        <f t="shared" si="0"/>
        <v>0</v>
      </c>
      <c r="N65" s="206">
        <v>0</v>
      </c>
      <c r="O65" s="190">
        <v>0</v>
      </c>
      <c r="P65" s="183">
        <f t="shared" si="1"/>
        <v>0</v>
      </c>
      <c r="Q65" s="183">
        <f>M65/G65</f>
        <v>0</v>
      </c>
      <c r="R65" s="589" t="s">
        <v>564</v>
      </c>
      <c r="S65" s="376">
        <f t="shared" si="4"/>
        <v>1</v>
      </c>
      <c r="T65" s="5">
        <f t="shared" si="5"/>
        <v>43066.02</v>
      </c>
    </row>
    <row r="66" spans="1:20" ht="409.5" customHeight="1">
      <c r="A66" s="776">
        <v>15</v>
      </c>
      <c r="B66" s="778" t="s">
        <v>4</v>
      </c>
      <c r="C66" s="778" t="s">
        <v>21</v>
      </c>
      <c r="D66" s="780" t="s">
        <v>621</v>
      </c>
      <c r="E66" s="781" t="s">
        <v>54</v>
      </c>
      <c r="F66" s="783" t="s">
        <v>10</v>
      </c>
      <c r="G66" s="821">
        <v>53089709.94</v>
      </c>
      <c r="H66" s="823" t="s">
        <v>508</v>
      </c>
      <c r="I66" s="808" t="s">
        <v>372</v>
      </c>
      <c r="J66" s="845" t="s">
        <v>139</v>
      </c>
      <c r="K66" s="787" t="s">
        <v>236</v>
      </c>
      <c r="L66" s="800">
        <v>459110.99</v>
      </c>
      <c r="M66" s="800">
        <v>109136.6</v>
      </c>
      <c r="N66" s="816">
        <v>109136.6</v>
      </c>
      <c r="O66" s="797"/>
      <c r="P66" s="796">
        <f t="shared" si="1"/>
        <v>0.23771288942571384</v>
      </c>
      <c r="Q66" s="796">
        <f>(M66+M70+M73)/G66</f>
        <v>0.0024520958985672697</v>
      </c>
      <c r="R66" s="844" t="s">
        <v>701</v>
      </c>
      <c r="S66" s="376">
        <f t="shared" si="4"/>
        <v>0.7622871105742862</v>
      </c>
      <c r="T66" s="5">
        <f t="shared" si="5"/>
        <v>349974.39</v>
      </c>
    </row>
    <row r="67" spans="1:20" ht="66.75" customHeight="1">
      <c r="A67" s="860"/>
      <c r="B67" s="884"/>
      <c r="C67" s="884"/>
      <c r="D67" s="918"/>
      <c r="E67" s="885"/>
      <c r="F67" s="868"/>
      <c r="G67" s="904"/>
      <c r="H67" s="898"/>
      <c r="I67" s="895"/>
      <c r="J67" s="782"/>
      <c r="K67" s="788"/>
      <c r="L67" s="801"/>
      <c r="M67" s="801"/>
      <c r="N67" s="817"/>
      <c r="O67" s="792"/>
      <c r="P67" s="794"/>
      <c r="Q67" s="828"/>
      <c r="R67" s="786"/>
      <c r="S67" s="376"/>
      <c r="T67" s="5"/>
    </row>
    <row r="68" spans="1:20" ht="58.5" customHeight="1">
      <c r="A68" s="860"/>
      <c r="B68" s="884"/>
      <c r="C68" s="884"/>
      <c r="D68" s="918"/>
      <c r="E68" s="885"/>
      <c r="F68" s="868"/>
      <c r="G68" s="904"/>
      <c r="H68" s="898"/>
      <c r="I68" s="895"/>
      <c r="J68" s="806" t="s">
        <v>448</v>
      </c>
      <c r="K68" s="788"/>
      <c r="L68" s="819">
        <v>103933</v>
      </c>
      <c r="M68" s="819">
        <v>103933</v>
      </c>
      <c r="N68" s="902">
        <v>103933</v>
      </c>
      <c r="O68" s="791"/>
      <c r="P68" s="793"/>
      <c r="Q68" s="828"/>
      <c r="R68" s="785" t="s">
        <v>702</v>
      </c>
      <c r="S68" s="376"/>
      <c r="T68" s="5"/>
    </row>
    <row r="69" spans="1:20" ht="21.75" customHeight="1" hidden="1">
      <c r="A69" s="860"/>
      <c r="B69" s="884"/>
      <c r="C69" s="884"/>
      <c r="D69" s="918"/>
      <c r="E69" s="885"/>
      <c r="F69" s="868"/>
      <c r="G69" s="904"/>
      <c r="H69" s="898"/>
      <c r="I69" s="895"/>
      <c r="J69" s="782"/>
      <c r="K69" s="789"/>
      <c r="L69" s="820"/>
      <c r="M69" s="820"/>
      <c r="N69" s="903"/>
      <c r="O69" s="792"/>
      <c r="P69" s="794"/>
      <c r="Q69" s="828"/>
      <c r="R69" s="786"/>
      <c r="S69" s="376"/>
      <c r="T69" s="5"/>
    </row>
    <row r="70" spans="1:20" ht="409.5" customHeight="1">
      <c r="A70" s="826"/>
      <c r="B70" s="884"/>
      <c r="C70" s="884"/>
      <c r="D70" s="918"/>
      <c r="E70" s="885"/>
      <c r="F70" s="882"/>
      <c r="G70" s="883"/>
      <c r="H70" s="832"/>
      <c r="I70" s="807"/>
      <c r="J70" s="818" t="s">
        <v>404</v>
      </c>
      <c r="K70" s="790" t="s">
        <v>405</v>
      </c>
      <c r="L70" s="800">
        <v>17087.4</v>
      </c>
      <c r="M70" s="800">
        <v>17087.4</v>
      </c>
      <c r="N70" s="816">
        <v>17087.4</v>
      </c>
      <c r="O70" s="815"/>
      <c r="P70" s="796">
        <f t="shared" si="1"/>
        <v>1</v>
      </c>
      <c r="Q70" s="827"/>
      <c r="R70" s="813" t="s">
        <v>700</v>
      </c>
      <c r="S70" s="376"/>
      <c r="T70" s="5"/>
    </row>
    <row r="71" spans="1:20" ht="59.25" customHeight="1">
      <c r="A71" s="826"/>
      <c r="B71" s="884"/>
      <c r="C71" s="884"/>
      <c r="D71" s="918"/>
      <c r="E71" s="885"/>
      <c r="F71" s="882"/>
      <c r="G71" s="883"/>
      <c r="H71" s="832"/>
      <c r="I71" s="807"/>
      <c r="J71" s="782"/>
      <c r="K71" s="788"/>
      <c r="L71" s="801"/>
      <c r="M71" s="801"/>
      <c r="N71" s="817"/>
      <c r="O71" s="792"/>
      <c r="P71" s="794"/>
      <c r="Q71" s="827"/>
      <c r="R71" s="814"/>
      <c r="S71" s="376"/>
      <c r="T71" s="5"/>
    </row>
    <row r="72" spans="1:20" ht="59.25" customHeight="1">
      <c r="A72" s="826"/>
      <c r="B72" s="884"/>
      <c r="C72" s="884"/>
      <c r="D72" s="918"/>
      <c r="E72" s="885"/>
      <c r="F72" s="882"/>
      <c r="G72" s="883"/>
      <c r="H72" s="832"/>
      <c r="I72" s="807"/>
      <c r="J72" s="103" t="s">
        <v>448</v>
      </c>
      <c r="K72" s="789"/>
      <c r="L72" s="471">
        <v>16342</v>
      </c>
      <c r="M72" s="471">
        <v>16342</v>
      </c>
      <c r="N72" s="533">
        <v>16342</v>
      </c>
      <c r="O72" s="630"/>
      <c r="P72" s="725"/>
      <c r="Q72" s="827"/>
      <c r="R72" s="44" t="s">
        <v>702</v>
      </c>
      <c r="S72" s="376"/>
      <c r="T72" s="5"/>
    </row>
    <row r="73" spans="1:20" ht="137.25" customHeight="1">
      <c r="A73" s="777"/>
      <c r="B73" s="779"/>
      <c r="C73" s="779"/>
      <c r="D73" s="779"/>
      <c r="E73" s="782"/>
      <c r="F73" s="784"/>
      <c r="G73" s="822"/>
      <c r="H73" s="833"/>
      <c r="I73" s="782"/>
      <c r="J73" s="397" t="s">
        <v>419</v>
      </c>
      <c r="K73" s="440" t="s">
        <v>437</v>
      </c>
      <c r="L73" s="413">
        <v>3957.06</v>
      </c>
      <c r="M73" s="413">
        <v>3957.06</v>
      </c>
      <c r="N73" s="189">
        <v>3957.06</v>
      </c>
      <c r="O73" s="216"/>
      <c r="P73" s="438">
        <f t="shared" si="1"/>
        <v>1</v>
      </c>
      <c r="Q73" s="794"/>
      <c r="R73" s="439" t="s">
        <v>565</v>
      </c>
      <c r="S73" s="376"/>
      <c r="T73" s="5"/>
    </row>
    <row r="74" spans="1:20" ht="96">
      <c r="A74" s="776">
        <v>16</v>
      </c>
      <c r="B74" s="778" t="s">
        <v>4</v>
      </c>
      <c r="C74" s="778" t="s">
        <v>187</v>
      </c>
      <c r="D74" s="780" t="s">
        <v>624</v>
      </c>
      <c r="E74" s="781" t="s">
        <v>55</v>
      </c>
      <c r="F74" s="783" t="s">
        <v>23</v>
      </c>
      <c r="G74" s="821">
        <v>168042284</v>
      </c>
      <c r="H74" s="823" t="s">
        <v>72</v>
      </c>
      <c r="I74" s="808" t="s">
        <v>373</v>
      </c>
      <c r="J74" s="399" t="s">
        <v>407</v>
      </c>
      <c r="K74" s="307" t="s">
        <v>305</v>
      </c>
      <c r="L74" s="209">
        <v>277298</v>
      </c>
      <c r="M74" s="339">
        <f t="shared" si="0"/>
        <v>277298</v>
      </c>
      <c r="N74" s="186"/>
      <c r="O74" s="187">
        <v>277298</v>
      </c>
      <c r="P74" s="183">
        <f t="shared" si="1"/>
        <v>1</v>
      </c>
      <c r="Q74" s="183">
        <f>M74/G74</f>
        <v>0.0016501680017631754</v>
      </c>
      <c r="R74" s="321" t="s">
        <v>566</v>
      </c>
      <c r="S74" s="376">
        <f t="shared" si="4"/>
        <v>0</v>
      </c>
      <c r="T74" s="5">
        <f t="shared" si="5"/>
        <v>0</v>
      </c>
    </row>
    <row r="75" spans="1:20" ht="87" customHeight="1">
      <c r="A75" s="777"/>
      <c r="B75" s="779"/>
      <c r="C75" s="779"/>
      <c r="D75" s="779"/>
      <c r="E75" s="782"/>
      <c r="F75" s="784"/>
      <c r="G75" s="822"/>
      <c r="H75" s="824"/>
      <c r="I75" s="782"/>
      <c r="J75" s="632" t="s">
        <v>640</v>
      </c>
      <c r="K75" s="633" t="s">
        <v>642</v>
      </c>
      <c r="L75" s="209">
        <v>343640.98</v>
      </c>
      <c r="M75" s="339">
        <v>343640.98</v>
      </c>
      <c r="N75" s="186"/>
      <c r="O75" s="187">
        <v>343640.98</v>
      </c>
      <c r="P75" s="631">
        <f t="shared" si="1"/>
        <v>1</v>
      </c>
      <c r="Q75" s="631">
        <f>SUM(M75/G74)</f>
        <v>0.002044967325009698</v>
      </c>
      <c r="R75" s="321" t="s">
        <v>648</v>
      </c>
      <c r="S75" s="376"/>
      <c r="T75" s="5"/>
    </row>
    <row r="76" spans="1:20" ht="162" customHeight="1">
      <c r="A76" s="311">
        <v>17</v>
      </c>
      <c r="B76" s="196" t="s">
        <v>4</v>
      </c>
      <c r="C76" s="210" t="s">
        <v>188</v>
      </c>
      <c r="D76" s="210" t="s">
        <v>620</v>
      </c>
      <c r="E76" s="207" t="s">
        <v>468</v>
      </c>
      <c r="F76" s="211" t="s">
        <v>8</v>
      </c>
      <c r="G76" s="208">
        <v>44850000</v>
      </c>
      <c r="H76" s="553" t="s">
        <v>72</v>
      </c>
      <c r="I76" s="360" t="s">
        <v>164</v>
      </c>
      <c r="J76" s="212" t="s">
        <v>141</v>
      </c>
      <c r="K76" s="213" t="s">
        <v>306</v>
      </c>
      <c r="L76" s="214">
        <v>9250.01</v>
      </c>
      <c r="M76" s="185">
        <f t="shared" si="0"/>
        <v>8500.01</v>
      </c>
      <c r="N76" s="189">
        <v>8500.01</v>
      </c>
      <c r="O76" s="143">
        <v>0</v>
      </c>
      <c r="P76" s="183">
        <f t="shared" si="1"/>
        <v>0.9189190065740469</v>
      </c>
      <c r="Q76" s="183">
        <f>M76/G76</f>
        <v>0.00018952084726867337</v>
      </c>
      <c r="R76" s="589" t="s">
        <v>567</v>
      </c>
      <c r="S76" s="376">
        <f t="shared" si="4"/>
        <v>0.08108099342595305</v>
      </c>
      <c r="T76" s="5">
        <f t="shared" si="5"/>
        <v>750</v>
      </c>
    </row>
    <row r="77" spans="1:20" ht="216.75" customHeight="1">
      <c r="A77" s="312">
        <v>18</v>
      </c>
      <c r="B77" s="210" t="s">
        <v>4</v>
      </c>
      <c r="C77" s="210" t="s">
        <v>189</v>
      </c>
      <c r="D77" s="210" t="s">
        <v>620</v>
      </c>
      <c r="E77" s="207" t="s">
        <v>469</v>
      </c>
      <c r="F77" s="211" t="s">
        <v>8</v>
      </c>
      <c r="G77" s="208">
        <v>32000000</v>
      </c>
      <c r="H77" s="553" t="s">
        <v>72</v>
      </c>
      <c r="I77" s="360" t="s">
        <v>374</v>
      </c>
      <c r="J77" s="212" t="s">
        <v>141</v>
      </c>
      <c r="K77" s="215" t="s">
        <v>237</v>
      </c>
      <c r="L77" s="214">
        <v>25876.89</v>
      </c>
      <c r="M77" s="185">
        <f t="shared" si="0"/>
        <v>16023.96</v>
      </c>
      <c r="N77" s="189">
        <v>16023.96</v>
      </c>
      <c r="O77" s="216"/>
      <c r="P77" s="183">
        <f t="shared" si="1"/>
        <v>0.6192382469454405</v>
      </c>
      <c r="Q77" s="183">
        <f>M77/G77</f>
        <v>0.00050074875</v>
      </c>
      <c r="R77" s="589" t="s">
        <v>568</v>
      </c>
      <c r="S77" s="376">
        <f t="shared" si="4"/>
        <v>0.3807617530545595</v>
      </c>
      <c r="T77" s="5">
        <f t="shared" si="5"/>
        <v>9852.93</v>
      </c>
    </row>
    <row r="78" spans="1:20" ht="409.5" customHeight="1">
      <c r="A78" s="776">
        <v>19</v>
      </c>
      <c r="B78" s="778" t="s">
        <v>4</v>
      </c>
      <c r="C78" s="778" t="s">
        <v>190</v>
      </c>
      <c r="D78" s="780" t="s">
        <v>625</v>
      </c>
      <c r="E78" s="874" t="s">
        <v>201</v>
      </c>
      <c r="F78" s="783" t="s">
        <v>28</v>
      </c>
      <c r="G78" s="809">
        <v>144128467</v>
      </c>
      <c r="H78" s="834" t="s">
        <v>510</v>
      </c>
      <c r="I78" s="808" t="s">
        <v>202</v>
      </c>
      <c r="J78" s="839" t="s">
        <v>139</v>
      </c>
      <c r="K78" s="842" t="s">
        <v>412</v>
      </c>
      <c r="L78" s="802">
        <v>9222024</v>
      </c>
      <c r="M78" s="800">
        <f t="shared" si="0"/>
        <v>9222024</v>
      </c>
      <c r="N78" s="798">
        <v>9222024</v>
      </c>
      <c r="O78" s="797">
        <v>0</v>
      </c>
      <c r="P78" s="796">
        <f t="shared" si="1"/>
        <v>1</v>
      </c>
      <c r="Q78" s="796">
        <f>(M78+M80)/G78</f>
        <v>0.1279695009869216</v>
      </c>
      <c r="R78" s="795" t="s">
        <v>641</v>
      </c>
      <c r="S78" s="376">
        <f t="shared" si="4"/>
        <v>0</v>
      </c>
      <c r="T78" s="5">
        <f t="shared" si="5"/>
        <v>0</v>
      </c>
    </row>
    <row r="79" spans="1:20" ht="54" customHeight="1">
      <c r="A79" s="860"/>
      <c r="B79" s="884"/>
      <c r="C79" s="884"/>
      <c r="D79" s="917"/>
      <c r="E79" s="867"/>
      <c r="F79" s="868"/>
      <c r="G79" s="869"/>
      <c r="H79" s="835"/>
      <c r="I79" s="895"/>
      <c r="J79" s="782"/>
      <c r="K79" s="842"/>
      <c r="L79" s="792"/>
      <c r="M79" s="801"/>
      <c r="N79" s="799"/>
      <c r="O79" s="792"/>
      <c r="P79" s="794"/>
      <c r="Q79" s="828"/>
      <c r="R79" s="786"/>
      <c r="S79" s="376"/>
      <c r="T79" s="5"/>
    </row>
    <row r="80" spans="1:20" ht="81">
      <c r="A80" s="826"/>
      <c r="B80" s="884"/>
      <c r="C80" s="884"/>
      <c r="D80" s="918"/>
      <c r="E80" s="807"/>
      <c r="F80" s="882"/>
      <c r="G80" s="883"/>
      <c r="H80" s="836"/>
      <c r="I80" s="807"/>
      <c r="J80" s="396" t="s">
        <v>146</v>
      </c>
      <c r="K80" s="843"/>
      <c r="L80" s="409">
        <v>9222024</v>
      </c>
      <c r="M80" s="394">
        <v>9222024</v>
      </c>
      <c r="N80" s="388"/>
      <c r="O80" s="187">
        <v>9222024</v>
      </c>
      <c r="P80" s="395">
        <f t="shared" si="1"/>
        <v>1</v>
      </c>
      <c r="Q80" s="829"/>
      <c r="R80" s="555" t="s">
        <v>518</v>
      </c>
      <c r="S80" s="376"/>
      <c r="T80" s="5"/>
    </row>
    <row r="81" spans="1:20" ht="111">
      <c r="A81" s="777"/>
      <c r="B81" s="779"/>
      <c r="C81" s="779"/>
      <c r="D81" s="779"/>
      <c r="E81" s="782"/>
      <c r="F81" s="784"/>
      <c r="G81" s="822"/>
      <c r="H81" s="824"/>
      <c r="I81" s="782"/>
      <c r="J81" s="408" t="s">
        <v>411</v>
      </c>
      <c r="K81" s="215" t="s">
        <v>413</v>
      </c>
      <c r="L81" s="409">
        <v>0</v>
      </c>
      <c r="M81" s="407">
        <v>0</v>
      </c>
      <c r="N81" s="388"/>
      <c r="O81" s="187">
        <v>0</v>
      </c>
      <c r="P81" s="406"/>
      <c r="Q81" s="406"/>
      <c r="R81" s="321" t="s">
        <v>569</v>
      </c>
      <c r="S81" s="376"/>
      <c r="T81" s="5"/>
    </row>
    <row r="82" spans="1:20" ht="75" customHeight="1">
      <c r="A82" s="311">
        <v>20</v>
      </c>
      <c r="B82" s="196" t="s">
        <v>4</v>
      </c>
      <c r="C82" s="196" t="s">
        <v>191</v>
      </c>
      <c r="D82" s="620" t="s">
        <v>623</v>
      </c>
      <c r="E82" s="362" t="s">
        <v>149</v>
      </c>
      <c r="F82" s="205" t="s">
        <v>148</v>
      </c>
      <c r="G82" s="353">
        <v>23352645</v>
      </c>
      <c r="H82" s="553" t="s">
        <v>72</v>
      </c>
      <c r="I82" s="212" t="s">
        <v>165</v>
      </c>
      <c r="J82" s="236" t="s">
        <v>274</v>
      </c>
      <c r="K82" s="217" t="s">
        <v>238</v>
      </c>
      <c r="L82" s="185">
        <v>95544.63</v>
      </c>
      <c r="M82" s="185">
        <f t="shared" si="0"/>
        <v>0</v>
      </c>
      <c r="N82" s="206">
        <v>0</v>
      </c>
      <c r="O82" s="190"/>
      <c r="P82" s="183">
        <f t="shared" si="1"/>
        <v>0</v>
      </c>
      <c r="Q82" s="183">
        <f>M82/G82</f>
        <v>0</v>
      </c>
      <c r="R82" s="591" t="s">
        <v>570</v>
      </c>
      <c r="S82" s="376">
        <f t="shared" si="4"/>
        <v>1</v>
      </c>
      <c r="T82" s="5">
        <f t="shared" si="5"/>
        <v>95544.63</v>
      </c>
    </row>
    <row r="83" spans="1:20" ht="171" customHeight="1">
      <c r="A83" s="311">
        <v>21</v>
      </c>
      <c r="B83" s="196" t="s">
        <v>4</v>
      </c>
      <c r="C83" s="196" t="s">
        <v>29</v>
      </c>
      <c r="D83" s="620" t="s">
        <v>623</v>
      </c>
      <c r="E83" s="218" t="s">
        <v>59</v>
      </c>
      <c r="F83" s="219" t="s">
        <v>16</v>
      </c>
      <c r="G83" s="208">
        <v>21907489</v>
      </c>
      <c r="H83" s="553" t="s">
        <v>72</v>
      </c>
      <c r="I83" s="129" t="s">
        <v>165</v>
      </c>
      <c r="J83" s="184" t="s">
        <v>30</v>
      </c>
      <c r="K83" s="191" t="s">
        <v>239</v>
      </c>
      <c r="L83" s="193">
        <v>15000</v>
      </c>
      <c r="M83" s="316">
        <f t="shared" si="0"/>
        <v>15000</v>
      </c>
      <c r="N83" s="344">
        <v>15000</v>
      </c>
      <c r="O83" s="233"/>
      <c r="P83" s="355">
        <f>M83/L83</f>
        <v>1</v>
      </c>
      <c r="Q83" s="355">
        <f>M83/G83</f>
        <v>0.0006846973653621371</v>
      </c>
      <c r="R83" s="338" t="s">
        <v>571</v>
      </c>
      <c r="S83" s="376">
        <f t="shared" si="4"/>
        <v>0</v>
      </c>
      <c r="T83" s="5">
        <f t="shared" si="5"/>
        <v>0</v>
      </c>
    </row>
    <row r="84" spans="1:20" ht="45">
      <c r="A84" s="908">
        <v>22</v>
      </c>
      <c r="B84" s="919" t="s">
        <v>4</v>
      </c>
      <c r="C84" s="921" t="s">
        <v>160</v>
      </c>
      <c r="D84" s="887" t="s">
        <v>626</v>
      </c>
      <c r="E84" s="920" t="s">
        <v>203</v>
      </c>
      <c r="F84" s="909" t="s">
        <v>10</v>
      </c>
      <c r="G84" s="809">
        <v>2279938.87</v>
      </c>
      <c r="H84" s="837" t="s">
        <v>507</v>
      </c>
      <c r="I84" s="830" t="s">
        <v>275</v>
      </c>
      <c r="J84" s="184" t="s">
        <v>139</v>
      </c>
      <c r="K84" s="811" t="s">
        <v>252</v>
      </c>
      <c r="L84" s="193">
        <v>82379</v>
      </c>
      <c r="M84" s="185">
        <f t="shared" si="0"/>
        <v>82379</v>
      </c>
      <c r="N84" s="344">
        <v>82379</v>
      </c>
      <c r="O84" s="143"/>
      <c r="P84" s="183">
        <f t="shared" si="1"/>
        <v>1</v>
      </c>
      <c r="Q84" s="796">
        <f>(M84+M85)/G84</f>
        <v>0.042461226164366414</v>
      </c>
      <c r="R84" s="589" t="s">
        <v>572</v>
      </c>
      <c r="S84" s="376">
        <f t="shared" si="4"/>
        <v>0</v>
      </c>
      <c r="T84" s="5">
        <f t="shared" si="5"/>
        <v>0</v>
      </c>
    </row>
    <row r="85" spans="1:20" ht="87">
      <c r="A85" s="908"/>
      <c r="B85" s="919"/>
      <c r="C85" s="919"/>
      <c r="D85" s="782"/>
      <c r="E85" s="920"/>
      <c r="F85" s="909"/>
      <c r="G85" s="810"/>
      <c r="H85" s="824"/>
      <c r="I85" s="830"/>
      <c r="J85" s="184" t="s">
        <v>153</v>
      </c>
      <c r="K85" s="812"/>
      <c r="L85" s="193">
        <v>82379</v>
      </c>
      <c r="M85" s="185">
        <f t="shared" si="0"/>
        <v>14430</v>
      </c>
      <c r="N85" s="344">
        <v>14430</v>
      </c>
      <c r="O85" s="143"/>
      <c r="P85" s="183">
        <f t="shared" si="1"/>
        <v>0.17516600104395538</v>
      </c>
      <c r="Q85" s="829"/>
      <c r="R85" s="589" t="s">
        <v>573</v>
      </c>
      <c r="S85" s="376">
        <f t="shared" si="4"/>
        <v>0.8248339989560446</v>
      </c>
      <c r="T85" s="5">
        <f t="shared" si="5"/>
        <v>67949</v>
      </c>
    </row>
    <row r="86" spans="1:20" ht="45">
      <c r="A86" s="908">
        <v>23</v>
      </c>
      <c r="B86" s="919" t="s">
        <v>4</v>
      </c>
      <c r="C86" s="919" t="s">
        <v>161</v>
      </c>
      <c r="D86" s="887" t="s">
        <v>626</v>
      </c>
      <c r="E86" s="920" t="s">
        <v>204</v>
      </c>
      <c r="F86" s="909" t="s">
        <v>10</v>
      </c>
      <c r="G86" s="809">
        <v>593179</v>
      </c>
      <c r="H86" s="837" t="s">
        <v>507</v>
      </c>
      <c r="I86" s="830" t="s">
        <v>275</v>
      </c>
      <c r="J86" s="325" t="s">
        <v>139</v>
      </c>
      <c r="K86" s="811" t="s">
        <v>228</v>
      </c>
      <c r="L86" s="193">
        <v>12000</v>
      </c>
      <c r="M86" s="326">
        <f t="shared" si="0"/>
        <v>12000</v>
      </c>
      <c r="N86" s="344">
        <v>12000</v>
      </c>
      <c r="O86" s="143"/>
      <c r="P86" s="331">
        <f t="shared" si="1"/>
        <v>1</v>
      </c>
      <c r="Q86" s="796">
        <f>(M86+M87)/G86</f>
        <v>0.02253114152726243</v>
      </c>
      <c r="R86" s="591" t="s">
        <v>574</v>
      </c>
      <c r="S86" s="376">
        <f t="shared" si="4"/>
        <v>0</v>
      </c>
      <c r="T86" s="5">
        <f t="shared" si="5"/>
        <v>0</v>
      </c>
    </row>
    <row r="87" spans="1:20" ht="87">
      <c r="A87" s="908"/>
      <c r="B87" s="919"/>
      <c r="C87" s="919"/>
      <c r="D87" s="782"/>
      <c r="E87" s="920"/>
      <c r="F87" s="909"/>
      <c r="G87" s="810"/>
      <c r="H87" s="824"/>
      <c r="I87" s="830"/>
      <c r="J87" s="325" t="s">
        <v>153</v>
      </c>
      <c r="K87" s="812"/>
      <c r="L87" s="193">
        <v>12000</v>
      </c>
      <c r="M87" s="326">
        <f t="shared" si="0"/>
        <v>1365</v>
      </c>
      <c r="N87" s="344">
        <v>1365</v>
      </c>
      <c r="O87" s="143"/>
      <c r="P87" s="331">
        <f t="shared" si="1"/>
        <v>0.11375</v>
      </c>
      <c r="Q87" s="829"/>
      <c r="R87" s="591" t="s">
        <v>575</v>
      </c>
      <c r="S87" s="376">
        <f t="shared" si="4"/>
        <v>0.88625</v>
      </c>
      <c r="T87" s="5">
        <f t="shared" si="5"/>
        <v>10635</v>
      </c>
    </row>
    <row r="88" spans="1:20" ht="141">
      <c r="A88" s="776">
        <v>24</v>
      </c>
      <c r="B88" s="912" t="s">
        <v>4</v>
      </c>
      <c r="C88" s="912" t="s">
        <v>339</v>
      </c>
      <c r="D88" s="887" t="s">
        <v>619</v>
      </c>
      <c r="E88" s="914" t="s">
        <v>438</v>
      </c>
      <c r="F88" s="910" t="s">
        <v>8</v>
      </c>
      <c r="G88" s="821">
        <v>4012156.19</v>
      </c>
      <c r="H88" s="823" t="s">
        <v>511</v>
      </c>
      <c r="I88" s="808" t="s">
        <v>375</v>
      </c>
      <c r="J88" s="335" t="s">
        <v>141</v>
      </c>
      <c r="K88" s="442" t="s">
        <v>342</v>
      </c>
      <c r="L88" s="336">
        <v>152732.25</v>
      </c>
      <c r="M88" s="337">
        <v>152732.25</v>
      </c>
      <c r="N88" s="256">
        <v>152732.25</v>
      </c>
      <c r="O88" s="333"/>
      <c r="P88" s="331">
        <f t="shared" si="1"/>
        <v>1</v>
      </c>
      <c r="Q88" s="324">
        <f>M88/G88</f>
        <v>0.03806737394238882</v>
      </c>
      <c r="R88" s="592" t="s">
        <v>576</v>
      </c>
      <c r="S88" s="376">
        <f t="shared" si="4"/>
        <v>0</v>
      </c>
      <c r="T88" s="5">
        <f t="shared" si="5"/>
        <v>0</v>
      </c>
    </row>
    <row r="89" spans="1:20" ht="176.25" customHeight="1">
      <c r="A89" s="777"/>
      <c r="B89" s="913"/>
      <c r="C89" s="913"/>
      <c r="D89" s="782"/>
      <c r="E89" s="915"/>
      <c r="F89" s="911"/>
      <c r="G89" s="822"/>
      <c r="H89" s="833"/>
      <c r="I89" s="831"/>
      <c r="J89" s="411" t="s">
        <v>141</v>
      </c>
      <c r="K89" s="412" t="s">
        <v>414</v>
      </c>
      <c r="L89" s="336">
        <v>1141.9</v>
      </c>
      <c r="M89" s="337">
        <v>1141.9</v>
      </c>
      <c r="N89" s="256">
        <v>1141.9</v>
      </c>
      <c r="O89" s="333"/>
      <c r="P89" s="331">
        <f t="shared" si="1"/>
        <v>1</v>
      </c>
      <c r="Q89" s="410">
        <f>M89/G88</f>
        <v>0.00028461005651926033</v>
      </c>
      <c r="R89" s="592" t="s">
        <v>577</v>
      </c>
      <c r="S89" s="376">
        <f t="shared" si="4"/>
        <v>0</v>
      </c>
      <c r="T89" s="5">
        <f t="shared" si="5"/>
        <v>0</v>
      </c>
    </row>
    <row r="90" spans="1:20" ht="249.75" customHeight="1">
      <c r="A90" s="323">
        <v>25</v>
      </c>
      <c r="B90" s="328" t="s">
        <v>4</v>
      </c>
      <c r="C90" s="561" t="s">
        <v>343</v>
      </c>
      <c r="D90" s="621" t="s">
        <v>623</v>
      </c>
      <c r="E90" s="363" t="s">
        <v>386</v>
      </c>
      <c r="F90" s="332" t="s">
        <v>28</v>
      </c>
      <c r="G90" s="327">
        <v>34371616</v>
      </c>
      <c r="H90" s="565" t="s">
        <v>72</v>
      </c>
      <c r="I90" s="213" t="s">
        <v>165</v>
      </c>
      <c r="J90" s="335" t="s">
        <v>341</v>
      </c>
      <c r="K90" s="351" t="s">
        <v>340</v>
      </c>
      <c r="L90" s="337">
        <v>75625</v>
      </c>
      <c r="M90" s="337">
        <v>75625</v>
      </c>
      <c r="N90" s="329"/>
      <c r="O90" s="330">
        <v>75625</v>
      </c>
      <c r="P90" s="331">
        <f>M90/L90</f>
        <v>1</v>
      </c>
      <c r="Q90" s="324">
        <f>M90/G90</f>
        <v>0.002200216597322628</v>
      </c>
      <c r="R90" s="592" t="s">
        <v>578</v>
      </c>
      <c r="S90" s="376">
        <f t="shared" si="4"/>
        <v>0</v>
      </c>
      <c r="T90" s="5">
        <f t="shared" si="5"/>
        <v>0</v>
      </c>
    </row>
    <row r="91" spans="1:20" ht="224.25" customHeight="1">
      <c r="A91" s="934">
        <v>26</v>
      </c>
      <c r="B91" s="929" t="s">
        <v>4</v>
      </c>
      <c r="C91" s="929" t="s">
        <v>344</v>
      </c>
      <c r="D91" s="887" t="s">
        <v>627</v>
      </c>
      <c r="E91" s="922" t="s">
        <v>470</v>
      </c>
      <c r="F91" s="927" t="s">
        <v>8</v>
      </c>
      <c r="G91" s="821">
        <v>40000000</v>
      </c>
      <c r="H91" s="823" t="s">
        <v>512</v>
      </c>
      <c r="I91" s="808" t="s">
        <v>376</v>
      </c>
      <c r="J91" s="840" t="s">
        <v>150</v>
      </c>
      <c r="K91" s="351" t="s">
        <v>360</v>
      </c>
      <c r="L91" s="337">
        <v>106552.6</v>
      </c>
      <c r="M91" s="337">
        <v>106552.6</v>
      </c>
      <c r="N91" s="401">
        <v>106552.6</v>
      </c>
      <c r="O91" s="389"/>
      <c r="P91" s="331">
        <f>M91/L91</f>
        <v>1</v>
      </c>
      <c r="Q91" s="796">
        <f>(M91+M92+M93+M94+M95+M96)/G91</f>
        <v>0.05036212125</v>
      </c>
      <c r="R91" s="592" t="s">
        <v>579</v>
      </c>
      <c r="S91" s="376">
        <f t="shared" si="4"/>
        <v>0</v>
      </c>
      <c r="T91" s="5">
        <f t="shared" si="5"/>
        <v>0</v>
      </c>
    </row>
    <row r="92" spans="1:20" ht="243">
      <c r="A92" s="860"/>
      <c r="B92" s="862"/>
      <c r="C92" s="930"/>
      <c r="D92" s="807"/>
      <c r="E92" s="923"/>
      <c r="F92" s="928"/>
      <c r="G92" s="904"/>
      <c r="H92" s="832"/>
      <c r="I92" s="925"/>
      <c r="J92" s="841"/>
      <c r="K92" s="351" t="s">
        <v>360</v>
      </c>
      <c r="L92" s="341">
        <v>29253.88</v>
      </c>
      <c r="M92" s="341">
        <v>29253.88</v>
      </c>
      <c r="N92" s="393">
        <v>29253.88</v>
      </c>
      <c r="O92" s="390"/>
      <c r="P92" s="331">
        <f>M92/L92</f>
        <v>1</v>
      </c>
      <c r="Q92" s="828"/>
      <c r="R92" s="592" t="s">
        <v>580</v>
      </c>
      <c r="S92" s="376">
        <f t="shared" si="4"/>
        <v>0</v>
      </c>
      <c r="T92" s="5">
        <f t="shared" si="5"/>
        <v>0</v>
      </c>
    </row>
    <row r="93" spans="1:20" ht="279" customHeight="1">
      <c r="A93" s="860"/>
      <c r="B93" s="862"/>
      <c r="C93" s="930"/>
      <c r="D93" s="807"/>
      <c r="E93" s="923"/>
      <c r="F93" s="928"/>
      <c r="G93" s="904"/>
      <c r="H93" s="832"/>
      <c r="I93" s="925"/>
      <c r="J93" s="841"/>
      <c r="K93" s="351" t="s">
        <v>361</v>
      </c>
      <c r="L93" s="341">
        <v>593135.95</v>
      </c>
      <c r="M93" s="341">
        <v>593135.95</v>
      </c>
      <c r="N93" s="393">
        <v>593135.95</v>
      </c>
      <c r="O93" s="390"/>
      <c r="P93" s="331">
        <f>M93/L93</f>
        <v>1</v>
      </c>
      <c r="Q93" s="828"/>
      <c r="R93" s="592" t="s">
        <v>581</v>
      </c>
      <c r="S93" s="376">
        <f t="shared" si="4"/>
        <v>0</v>
      </c>
      <c r="T93" s="5">
        <f t="shared" si="5"/>
        <v>0</v>
      </c>
    </row>
    <row r="94" spans="1:20" ht="204.75" customHeight="1">
      <c r="A94" s="860"/>
      <c r="B94" s="862"/>
      <c r="C94" s="930"/>
      <c r="D94" s="807"/>
      <c r="E94" s="923"/>
      <c r="F94" s="928"/>
      <c r="G94" s="904"/>
      <c r="H94" s="832"/>
      <c r="I94" s="925"/>
      <c r="J94" s="841"/>
      <c r="K94" s="351" t="s">
        <v>360</v>
      </c>
      <c r="L94" s="341">
        <v>71182.18</v>
      </c>
      <c r="M94" s="341">
        <v>71182.18</v>
      </c>
      <c r="N94" s="393">
        <v>71182.18</v>
      </c>
      <c r="O94" s="390"/>
      <c r="P94" s="331">
        <f>M94/L94</f>
        <v>1</v>
      </c>
      <c r="Q94" s="828"/>
      <c r="R94" s="592" t="s">
        <v>582</v>
      </c>
      <c r="S94" s="376">
        <f t="shared" si="4"/>
        <v>0</v>
      </c>
      <c r="T94" s="5">
        <f t="shared" si="5"/>
        <v>0</v>
      </c>
    </row>
    <row r="95" spans="1:20" ht="198" customHeight="1">
      <c r="A95" s="860"/>
      <c r="B95" s="862"/>
      <c r="C95" s="930"/>
      <c r="D95" s="807"/>
      <c r="E95" s="923"/>
      <c r="F95" s="928"/>
      <c r="G95" s="904"/>
      <c r="H95" s="832"/>
      <c r="I95" s="925"/>
      <c r="J95" s="841"/>
      <c r="K95" s="352" t="s">
        <v>360</v>
      </c>
      <c r="L95" s="343">
        <v>482088.81</v>
      </c>
      <c r="M95" s="343">
        <v>482088.81</v>
      </c>
      <c r="N95" s="393">
        <v>482088.81</v>
      </c>
      <c r="O95" s="390"/>
      <c r="P95" s="342">
        <f aca="true" t="shared" si="6" ref="P95:P116">M95/L95</f>
        <v>1</v>
      </c>
      <c r="Q95" s="828"/>
      <c r="R95" s="592" t="s">
        <v>583</v>
      </c>
      <c r="S95" s="376">
        <f t="shared" si="4"/>
        <v>0</v>
      </c>
      <c r="T95" s="5">
        <f t="shared" si="5"/>
        <v>0</v>
      </c>
    </row>
    <row r="96" spans="1:20" ht="171" customHeight="1">
      <c r="A96" s="826"/>
      <c r="B96" s="807"/>
      <c r="C96" s="807"/>
      <c r="D96" s="807"/>
      <c r="E96" s="807"/>
      <c r="F96" s="807"/>
      <c r="G96" s="883"/>
      <c r="H96" s="832"/>
      <c r="I96" s="925"/>
      <c r="J96" s="387"/>
      <c r="K96" s="392" t="s">
        <v>402</v>
      </c>
      <c r="L96" s="343">
        <v>732271.43</v>
      </c>
      <c r="M96" s="343">
        <v>732271.43</v>
      </c>
      <c r="N96" s="402">
        <v>732271.43</v>
      </c>
      <c r="O96" s="391"/>
      <c r="P96" s="386">
        <f t="shared" si="6"/>
        <v>1</v>
      </c>
      <c r="Q96" s="794"/>
      <c r="R96" s="592" t="s">
        <v>584</v>
      </c>
      <c r="S96" s="376">
        <f t="shared" si="4"/>
        <v>0</v>
      </c>
      <c r="T96" s="5">
        <f t="shared" si="5"/>
        <v>0</v>
      </c>
    </row>
    <row r="97" spans="1:20" ht="69" customHeight="1">
      <c r="A97" s="826"/>
      <c r="B97" s="807"/>
      <c r="C97" s="807"/>
      <c r="D97" s="807"/>
      <c r="E97" s="807"/>
      <c r="F97" s="807"/>
      <c r="G97" s="883"/>
      <c r="H97" s="832"/>
      <c r="I97" s="925"/>
      <c r="J97" s="544" t="s">
        <v>411</v>
      </c>
      <c r="K97" s="546" t="s">
        <v>491</v>
      </c>
      <c r="L97" s="343">
        <v>0</v>
      </c>
      <c r="M97" s="343">
        <v>0</v>
      </c>
      <c r="N97" s="479">
        <v>0</v>
      </c>
      <c r="O97" s="391">
        <v>0</v>
      </c>
      <c r="P97" s="542">
        <v>0</v>
      </c>
      <c r="Q97" s="543"/>
      <c r="R97" s="545" t="s">
        <v>585</v>
      </c>
      <c r="S97" s="376" t="e">
        <f t="shared" si="4"/>
        <v>#DIV/0!</v>
      </c>
      <c r="T97" s="5">
        <f t="shared" si="5"/>
        <v>0</v>
      </c>
    </row>
    <row r="98" spans="1:20" ht="69.75" customHeight="1">
      <c r="A98" s="777"/>
      <c r="B98" s="782"/>
      <c r="C98" s="782"/>
      <c r="D98" s="782"/>
      <c r="E98" s="782"/>
      <c r="F98" s="782"/>
      <c r="G98" s="822"/>
      <c r="H98" s="833"/>
      <c r="I98" s="926"/>
      <c r="J98" s="478" t="s">
        <v>411</v>
      </c>
      <c r="K98" s="480" t="s">
        <v>453</v>
      </c>
      <c r="L98" s="343">
        <v>0</v>
      </c>
      <c r="M98" s="343">
        <v>0</v>
      </c>
      <c r="N98" s="479">
        <v>0</v>
      </c>
      <c r="O98" s="391">
        <v>0</v>
      </c>
      <c r="P98" s="476">
        <v>0</v>
      </c>
      <c r="Q98" s="477"/>
      <c r="R98" s="592" t="s">
        <v>586</v>
      </c>
      <c r="S98" s="376" t="e">
        <f t="shared" si="4"/>
        <v>#DIV/0!</v>
      </c>
      <c r="T98" s="5">
        <f t="shared" si="5"/>
        <v>0</v>
      </c>
    </row>
    <row r="99" spans="1:20" ht="183">
      <c r="A99" s="933">
        <v>27</v>
      </c>
      <c r="B99" s="932" t="s">
        <v>4</v>
      </c>
      <c r="C99" s="932" t="s">
        <v>347</v>
      </c>
      <c r="D99" s="780" t="s">
        <v>627</v>
      </c>
      <c r="E99" s="931" t="s">
        <v>471</v>
      </c>
      <c r="F99" s="927" t="s">
        <v>8</v>
      </c>
      <c r="G99" s="821">
        <v>36420736.98</v>
      </c>
      <c r="H99" s="823" t="s">
        <v>72</v>
      </c>
      <c r="I99" s="808" t="s">
        <v>202</v>
      </c>
      <c r="J99" s="350" t="s">
        <v>150</v>
      </c>
      <c r="K99" s="354" t="s">
        <v>363</v>
      </c>
      <c r="L99" s="209">
        <v>20570</v>
      </c>
      <c r="M99" s="209">
        <f>N99+O99</f>
        <v>2762.5</v>
      </c>
      <c r="N99" s="192">
        <v>2762.5</v>
      </c>
      <c r="O99" s="190"/>
      <c r="P99" s="331">
        <f t="shared" si="6"/>
        <v>0.13429752066115702</v>
      </c>
      <c r="Q99" s="331">
        <f>M99/G99</f>
        <v>7.584964580801847E-05</v>
      </c>
      <c r="R99" s="591" t="s">
        <v>587</v>
      </c>
      <c r="S99" s="376">
        <f t="shared" si="4"/>
        <v>0.8657024793388429</v>
      </c>
      <c r="T99" s="5">
        <f t="shared" si="5"/>
        <v>17807.5</v>
      </c>
    </row>
    <row r="100" spans="1:20" ht="139.5" customHeight="1">
      <c r="A100" s="777"/>
      <c r="B100" s="779"/>
      <c r="C100" s="779"/>
      <c r="D100" s="779"/>
      <c r="E100" s="779"/>
      <c r="F100" s="782"/>
      <c r="G100" s="822"/>
      <c r="H100" s="833"/>
      <c r="I100" s="782"/>
      <c r="J100" s="588" t="s">
        <v>533</v>
      </c>
      <c r="K100" s="516" t="s">
        <v>472</v>
      </c>
      <c r="L100" s="209">
        <v>5932670.27</v>
      </c>
      <c r="M100" s="209">
        <f>N100+O100</f>
        <v>5932670.27</v>
      </c>
      <c r="N100" s="192">
        <v>5932670.27</v>
      </c>
      <c r="O100" s="190"/>
      <c r="P100" s="331">
        <f t="shared" si="6"/>
        <v>1</v>
      </c>
      <c r="Q100" s="331">
        <f>M100/G99</f>
        <v>0.16289264748425747</v>
      </c>
      <c r="R100" s="591" t="s">
        <v>596</v>
      </c>
      <c r="S100" s="376"/>
      <c r="T100" s="5"/>
    </row>
    <row r="101" spans="1:20" ht="117" customHeight="1">
      <c r="A101" s="933">
        <v>28</v>
      </c>
      <c r="B101" s="932" t="s">
        <v>4</v>
      </c>
      <c r="C101" s="865" t="s">
        <v>359</v>
      </c>
      <c r="D101" s="887" t="s">
        <v>627</v>
      </c>
      <c r="E101" s="944" t="s">
        <v>415</v>
      </c>
      <c r="F101" s="927" t="s">
        <v>8</v>
      </c>
      <c r="G101" s="821">
        <v>135462141.78</v>
      </c>
      <c r="H101" s="823" t="s">
        <v>72</v>
      </c>
      <c r="I101" s="808" t="s">
        <v>202</v>
      </c>
      <c r="J101" s="838" t="s">
        <v>497</v>
      </c>
      <c r="K101" s="361" t="s">
        <v>370</v>
      </c>
      <c r="L101" s="209">
        <v>344617.16</v>
      </c>
      <c r="M101" s="209">
        <v>344617.16</v>
      </c>
      <c r="N101" s="192">
        <v>344617.16</v>
      </c>
      <c r="O101" s="190"/>
      <c r="P101" s="331">
        <f t="shared" si="6"/>
        <v>1</v>
      </c>
      <c r="Q101" s="796">
        <f>(M101+M102)/G101</f>
        <v>0.015679430223755616</v>
      </c>
      <c r="R101" s="591" t="s">
        <v>588</v>
      </c>
      <c r="S101" s="376">
        <f t="shared" si="4"/>
        <v>0</v>
      </c>
      <c r="T101" s="5">
        <f t="shared" si="5"/>
        <v>0</v>
      </c>
    </row>
    <row r="102" spans="1:20" ht="173.25" customHeight="1">
      <c r="A102" s="826"/>
      <c r="B102" s="918"/>
      <c r="C102" s="807"/>
      <c r="D102" s="807"/>
      <c r="E102" s="807"/>
      <c r="F102" s="807"/>
      <c r="G102" s="883"/>
      <c r="H102" s="832"/>
      <c r="I102" s="807"/>
      <c r="J102" s="807"/>
      <c r="K102" s="418" t="s">
        <v>406</v>
      </c>
      <c r="L102" s="419">
        <v>1779352.04</v>
      </c>
      <c r="M102" s="419">
        <v>1779352.04</v>
      </c>
      <c r="N102" s="403">
        <v>1779352.04</v>
      </c>
      <c r="O102" s="420"/>
      <c r="P102" s="417">
        <f t="shared" si="6"/>
        <v>1</v>
      </c>
      <c r="Q102" s="827"/>
      <c r="R102" s="593" t="s">
        <v>589</v>
      </c>
      <c r="S102" s="398">
        <f t="shared" si="4"/>
        <v>0</v>
      </c>
      <c r="T102" s="37">
        <f t="shared" si="5"/>
        <v>0</v>
      </c>
    </row>
    <row r="103" spans="1:20" ht="153" customHeight="1">
      <c r="A103" s="826"/>
      <c r="B103" s="918"/>
      <c r="C103" s="807"/>
      <c r="D103" s="807"/>
      <c r="E103" s="807"/>
      <c r="F103" s="807"/>
      <c r="G103" s="883"/>
      <c r="H103" s="832"/>
      <c r="I103" s="807"/>
      <c r="J103" s="517" t="s">
        <v>138</v>
      </c>
      <c r="K103" s="539" t="s">
        <v>481</v>
      </c>
      <c r="L103" s="454">
        <v>23435162.29</v>
      </c>
      <c r="M103" s="454">
        <f>SUM(N103+O103)</f>
        <v>23435162.29</v>
      </c>
      <c r="N103" s="434">
        <v>19367902.71</v>
      </c>
      <c r="O103" s="422">
        <v>4067259.58</v>
      </c>
      <c r="P103" s="423">
        <f t="shared" si="6"/>
        <v>1</v>
      </c>
      <c r="Q103" s="541">
        <f>M103/G101</f>
        <v>0.1730015632563993</v>
      </c>
      <c r="R103" s="594" t="s">
        <v>597</v>
      </c>
      <c r="S103" s="398">
        <f t="shared" si="4"/>
        <v>0</v>
      </c>
      <c r="T103" s="37">
        <f t="shared" si="5"/>
        <v>0</v>
      </c>
    </row>
    <row r="104" spans="1:20" ht="129" customHeight="1">
      <c r="A104" s="777"/>
      <c r="B104" s="779"/>
      <c r="C104" s="782"/>
      <c r="D104" s="782"/>
      <c r="E104" s="782"/>
      <c r="F104" s="782"/>
      <c r="G104" s="822"/>
      <c r="H104" s="833"/>
      <c r="I104" s="782"/>
      <c r="J104" s="517" t="s">
        <v>411</v>
      </c>
      <c r="K104" s="514" t="s">
        <v>463</v>
      </c>
      <c r="L104" s="454">
        <v>0</v>
      </c>
      <c r="M104" s="454">
        <v>0</v>
      </c>
      <c r="N104" s="434">
        <v>0</v>
      </c>
      <c r="O104" s="422"/>
      <c r="P104" s="423">
        <v>0</v>
      </c>
      <c r="Q104" s="4"/>
      <c r="R104" s="594" t="s">
        <v>590</v>
      </c>
      <c r="S104" s="398" t="e">
        <f t="shared" si="4"/>
        <v>#DIV/0!</v>
      </c>
      <c r="T104" s="37">
        <f t="shared" si="5"/>
        <v>0</v>
      </c>
    </row>
    <row r="105" spans="1:20" ht="119.25" customHeight="1">
      <c r="A105" s="421">
        <v>29</v>
      </c>
      <c r="B105" s="11" t="s">
        <v>4</v>
      </c>
      <c r="C105" s="435" t="s">
        <v>431</v>
      </c>
      <c r="D105" s="435" t="s">
        <v>626</v>
      </c>
      <c r="E105" s="452" t="s">
        <v>432</v>
      </c>
      <c r="F105" s="436" t="s">
        <v>427</v>
      </c>
      <c r="G105" s="437">
        <v>1749549.32</v>
      </c>
      <c r="H105" s="564" t="s">
        <v>522</v>
      </c>
      <c r="I105" s="444" t="s">
        <v>202</v>
      </c>
      <c r="J105" s="444" t="s">
        <v>433</v>
      </c>
      <c r="K105" s="518" t="s">
        <v>473</v>
      </c>
      <c r="L105" s="443">
        <v>40274.5</v>
      </c>
      <c r="M105" s="443">
        <v>40274.5</v>
      </c>
      <c r="N105" s="433">
        <v>40274.5</v>
      </c>
      <c r="O105" s="422"/>
      <c r="P105" s="423">
        <f t="shared" si="6"/>
        <v>1</v>
      </c>
      <c r="Q105" s="536">
        <f>M105/G105</f>
        <v>0.023019928355034882</v>
      </c>
      <c r="R105" s="591" t="s">
        <v>591</v>
      </c>
      <c r="S105" s="398">
        <f t="shared" si="4"/>
        <v>0</v>
      </c>
      <c r="T105" s="37">
        <f t="shared" si="5"/>
        <v>0</v>
      </c>
    </row>
    <row r="106" spans="1:20" ht="75" customHeight="1">
      <c r="A106" s="421">
        <v>30</v>
      </c>
      <c r="B106" s="11" t="s">
        <v>4</v>
      </c>
      <c r="C106" s="505" t="s">
        <v>459</v>
      </c>
      <c r="D106" s="435" t="s">
        <v>624</v>
      </c>
      <c r="E106" s="506" t="s">
        <v>460</v>
      </c>
      <c r="F106" s="507" t="s">
        <v>23</v>
      </c>
      <c r="G106" s="437">
        <v>371369</v>
      </c>
      <c r="H106" s="564" t="s">
        <v>523</v>
      </c>
      <c r="I106" s="504" t="s">
        <v>524</v>
      </c>
      <c r="J106" s="508" t="s">
        <v>429</v>
      </c>
      <c r="K106" s="509" t="s">
        <v>461</v>
      </c>
      <c r="L106" s="510" t="s">
        <v>462</v>
      </c>
      <c r="M106" s="454"/>
      <c r="N106" s="434"/>
      <c r="O106" s="422"/>
      <c r="P106" s="423"/>
      <c r="Q106" s="536"/>
      <c r="R106" s="557" t="s">
        <v>519</v>
      </c>
      <c r="S106" s="398"/>
      <c r="T106" s="37"/>
    </row>
    <row r="107" spans="1:20" ht="99" customHeight="1">
      <c r="A107" s="421">
        <v>31</v>
      </c>
      <c r="B107" s="11" t="s">
        <v>4</v>
      </c>
      <c r="C107" s="435" t="s">
        <v>478</v>
      </c>
      <c r="D107" s="505" t="s">
        <v>620</v>
      </c>
      <c r="E107" s="549" t="s">
        <v>498</v>
      </c>
      <c r="F107" s="535" t="s">
        <v>8</v>
      </c>
      <c r="G107" s="437">
        <v>99892339.07</v>
      </c>
      <c r="H107" s="564" t="s">
        <v>72</v>
      </c>
      <c r="I107" s="534" t="s">
        <v>164</v>
      </c>
      <c r="J107" s="534" t="s">
        <v>499</v>
      </c>
      <c r="K107" s="551" t="s">
        <v>500</v>
      </c>
      <c r="L107" s="510">
        <v>0</v>
      </c>
      <c r="M107" s="454">
        <v>0</v>
      </c>
      <c r="N107" s="550">
        <v>0</v>
      </c>
      <c r="O107" s="422">
        <v>0</v>
      </c>
      <c r="P107" s="423">
        <v>0</v>
      </c>
      <c r="Q107" s="536"/>
      <c r="R107" s="557" t="s">
        <v>520</v>
      </c>
      <c r="S107" s="398"/>
      <c r="T107" s="37"/>
    </row>
    <row r="108" spans="1:20" ht="75" customHeight="1">
      <c r="A108" s="421">
        <v>32</v>
      </c>
      <c r="B108" s="11" t="s">
        <v>4</v>
      </c>
      <c r="C108" s="435" t="s">
        <v>492</v>
      </c>
      <c r="D108" s="505" t="s">
        <v>623</v>
      </c>
      <c r="E108" s="11" t="s">
        <v>495</v>
      </c>
      <c r="F108" s="548" t="s">
        <v>493</v>
      </c>
      <c r="G108" s="437">
        <v>10453725</v>
      </c>
      <c r="H108" s="564" t="s">
        <v>72</v>
      </c>
      <c r="I108" s="547" t="s">
        <v>165</v>
      </c>
      <c r="J108" s="547" t="s">
        <v>429</v>
      </c>
      <c r="K108" s="548" t="s">
        <v>494</v>
      </c>
      <c r="L108" s="510">
        <v>38720</v>
      </c>
      <c r="M108" s="454">
        <v>0</v>
      </c>
      <c r="N108" s="434">
        <v>0</v>
      </c>
      <c r="O108" s="422">
        <v>0</v>
      </c>
      <c r="P108" s="423">
        <f t="shared" si="6"/>
        <v>0</v>
      </c>
      <c r="Q108" s="536">
        <f>M108/G108</f>
        <v>0</v>
      </c>
      <c r="R108" s="557" t="s">
        <v>521</v>
      </c>
      <c r="S108" s="398"/>
      <c r="T108" s="37"/>
    </row>
    <row r="109" spans="1:20" ht="116.25" customHeight="1">
      <c r="A109" s="421">
        <v>33</v>
      </c>
      <c r="B109" s="11" t="s">
        <v>4</v>
      </c>
      <c r="C109" s="622" t="s">
        <v>628</v>
      </c>
      <c r="D109" s="505" t="s">
        <v>621</v>
      </c>
      <c r="E109" s="421">
        <v>2014</v>
      </c>
      <c r="F109" s="625" t="s">
        <v>630</v>
      </c>
      <c r="G109" s="437">
        <v>5494071</v>
      </c>
      <c r="H109" s="564" t="s">
        <v>508</v>
      </c>
      <c r="I109" s="623" t="s">
        <v>166</v>
      </c>
      <c r="J109" s="623" t="s">
        <v>632</v>
      </c>
      <c r="K109" s="625" t="s">
        <v>631</v>
      </c>
      <c r="L109" s="510">
        <v>109471</v>
      </c>
      <c r="M109" s="454">
        <v>109471</v>
      </c>
      <c r="N109" s="433">
        <v>109471</v>
      </c>
      <c r="O109" s="422">
        <v>0</v>
      </c>
      <c r="P109" s="423">
        <f t="shared" si="6"/>
        <v>1</v>
      </c>
      <c r="Q109" s="536">
        <f>M109/G109</f>
        <v>0.01992529765268778</v>
      </c>
      <c r="R109" s="726" t="s">
        <v>703</v>
      </c>
      <c r="S109" s="398"/>
      <c r="T109" s="37"/>
    </row>
    <row r="110" spans="1:20" ht="120" customHeight="1">
      <c r="A110" s="421">
        <v>34</v>
      </c>
      <c r="B110" s="11" t="s">
        <v>4</v>
      </c>
      <c r="C110" s="624" t="s">
        <v>629</v>
      </c>
      <c r="D110" s="505" t="s">
        <v>621</v>
      </c>
      <c r="E110" s="421">
        <v>2014</v>
      </c>
      <c r="F110" s="625" t="s">
        <v>630</v>
      </c>
      <c r="G110" s="437">
        <v>1671074</v>
      </c>
      <c r="H110" s="564" t="s">
        <v>508</v>
      </c>
      <c r="I110" s="623" t="s">
        <v>166</v>
      </c>
      <c r="J110" s="623" t="s">
        <v>632</v>
      </c>
      <c r="K110" s="625" t="s">
        <v>631</v>
      </c>
      <c r="L110" s="510">
        <v>129560</v>
      </c>
      <c r="M110" s="454">
        <v>129560</v>
      </c>
      <c r="N110" s="433">
        <v>129560</v>
      </c>
      <c r="O110" s="422">
        <v>0</v>
      </c>
      <c r="P110" s="423">
        <f t="shared" si="6"/>
        <v>1</v>
      </c>
      <c r="Q110" s="536">
        <f>M110/G110</f>
        <v>0.07753097708419855</v>
      </c>
      <c r="R110" s="726" t="s">
        <v>704</v>
      </c>
      <c r="S110" s="398"/>
      <c r="T110" s="37"/>
    </row>
    <row r="111" spans="1:20" ht="79.5" customHeight="1">
      <c r="A111" s="421" t="s">
        <v>424</v>
      </c>
      <c r="B111" s="11" t="s">
        <v>4</v>
      </c>
      <c r="C111" s="622" t="s">
        <v>422</v>
      </c>
      <c r="D111" s="428" t="s">
        <v>621</v>
      </c>
      <c r="E111" s="444" t="s">
        <v>425</v>
      </c>
      <c r="F111" s="444" t="s">
        <v>427</v>
      </c>
      <c r="G111" s="453">
        <v>2478282.9</v>
      </c>
      <c r="H111" s="564" t="s">
        <v>508</v>
      </c>
      <c r="I111" s="444" t="s">
        <v>166</v>
      </c>
      <c r="J111" s="444" t="s">
        <v>429</v>
      </c>
      <c r="K111" s="441" t="s">
        <v>439</v>
      </c>
      <c r="L111" s="443">
        <v>206894.19</v>
      </c>
      <c r="M111" s="443">
        <v>206894.19</v>
      </c>
      <c r="N111" s="433">
        <v>206894.19</v>
      </c>
      <c r="O111" s="422"/>
      <c r="P111" s="423">
        <f t="shared" si="6"/>
        <v>1</v>
      </c>
      <c r="Q111" s="536">
        <f>M111/G111</f>
        <v>0.08348287840746511</v>
      </c>
      <c r="R111" s="628" t="s">
        <v>592</v>
      </c>
      <c r="S111" s="398">
        <f t="shared" si="4"/>
        <v>0</v>
      </c>
      <c r="T111" s="37">
        <f t="shared" si="5"/>
        <v>0</v>
      </c>
    </row>
    <row r="112" spans="1:20" ht="139.5" customHeight="1">
      <c r="A112" s="460" t="s">
        <v>424</v>
      </c>
      <c r="B112" s="461" t="s">
        <v>4</v>
      </c>
      <c r="C112" s="622" t="s">
        <v>423</v>
      </c>
      <c r="D112" s="622" t="s">
        <v>621</v>
      </c>
      <c r="E112" s="457" t="s">
        <v>426</v>
      </c>
      <c r="F112" s="456" t="s">
        <v>427</v>
      </c>
      <c r="G112" s="462">
        <v>1301000</v>
      </c>
      <c r="H112" s="564" t="s">
        <v>508</v>
      </c>
      <c r="I112" s="456" t="s">
        <v>166</v>
      </c>
      <c r="J112" s="456" t="s">
        <v>429</v>
      </c>
      <c r="K112" s="463" t="s">
        <v>430</v>
      </c>
      <c r="L112" s="455">
        <v>13528.35</v>
      </c>
      <c r="M112" s="455">
        <v>13528.35</v>
      </c>
      <c r="N112" s="464">
        <v>13528.35</v>
      </c>
      <c r="O112" s="465"/>
      <c r="P112" s="466">
        <f t="shared" si="6"/>
        <v>1</v>
      </c>
      <c r="Q112" s="536">
        <f>M112/G112</f>
        <v>0.010398424289008456</v>
      </c>
      <c r="R112" s="593" t="s">
        <v>593</v>
      </c>
      <c r="S112" s="398">
        <f t="shared" si="4"/>
        <v>0</v>
      </c>
      <c r="T112" s="37">
        <f t="shared" si="5"/>
        <v>0</v>
      </c>
    </row>
    <row r="113" spans="1:20" ht="173.25" customHeight="1">
      <c r="A113" s="935" t="s">
        <v>424</v>
      </c>
      <c r="B113" s="937" t="s">
        <v>4</v>
      </c>
      <c r="C113" s="938" t="s">
        <v>446</v>
      </c>
      <c r="D113" s="938" t="s">
        <v>621</v>
      </c>
      <c r="E113" s="941" t="s">
        <v>447</v>
      </c>
      <c r="F113" s="806" t="s">
        <v>445</v>
      </c>
      <c r="G113" s="803">
        <v>106386773</v>
      </c>
      <c r="H113" s="825" t="s">
        <v>507</v>
      </c>
      <c r="I113" s="806" t="s">
        <v>451</v>
      </c>
      <c r="J113" s="473" t="s">
        <v>449</v>
      </c>
      <c r="K113" s="474" t="s">
        <v>450</v>
      </c>
      <c r="L113" s="454">
        <v>534795</v>
      </c>
      <c r="M113" s="454">
        <v>534795</v>
      </c>
      <c r="N113" s="433"/>
      <c r="O113" s="422">
        <v>534795</v>
      </c>
      <c r="P113" s="423">
        <f t="shared" si="6"/>
        <v>1</v>
      </c>
      <c r="Q113" s="536">
        <f>M113/G113</f>
        <v>0.005026893709803568</v>
      </c>
      <c r="R113" s="556" t="s">
        <v>454</v>
      </c>
      <c r="S113" s="398">
        <f t="shared" si="4"/>
        <v>0</v>
      </c>
      <c r="T113" s="37">
        <f t="shared" si="5"/>
        <v>0</v>
      </c>
    </row>
    <row r="114" spans="1:20" ht="134.25" customHeight="1">
      <c r="A114" s="826"/>
      <c r="B114" s="918"/>
      <c r="C114" s="939"/>
      <c r="D114" s="807"/>
      <c r="E114" s="942"/>
      <c r="F114" s="807"/>
      <c r="G114" s="804"/>
      <c r="H114" s="826"/>
      <c r="I114" s="807"/>
      <c r="J114" s="473" t="s">
        <v>449</v>
      </c>
      <c r="K114" s="474" t="s">
        <v>450</v>
      </c>
      <c r="L114" s="454">
        <v>165444.2</v>
      </c>
      <c r="M114" s="454">
        <v>165444.2</v>
      </c>
      <c r="N114" s="433"/>
      <c r="O114" s="422">
        <v>165444.2</v>
      </c>
      <c r="P114" s="423">
        <f t="shared" si="6"/>
        <v>1</v>
      </c>
      <c r="Q114" s="536">
        <f>M114/G113*100</f>
        <v>0.1555120014778529</v>
      </c>
      <c r="R114" s="594" t="s">
        <v>594</v>
      </c>
      <c r="S114" s="398">
        <f t="shared" si="4"/>
        <v>0</v>
      </c>
      <c r="T114" s="37">
        <f t="shared" si="5"/>
        <v>0</v>
      </c>
    </row>
    <row r="115" spans="1:20" ht="129" customHeight="1" thickBot="1">
      <c r="A115" s="777"/>
      <c r="B115" s="779"/>
      <c r="C115" s="940"/>
      <c r="D115" s="782"/>
      <c r="E115" s="943"/>
      <c r="F115" s="782"/>
      <c r="G115" s="805"/>
      <c r="H115" s="777"/>
      <c r="I115" s="782"/>
      <c r="J115" s="473" t="s">
        <v>449</v>
      </c>
      <c r="K115" s="474" t="s">
        <v>450</v>
      </c>
      <c r="L115" s="454">
        <v>134481.56</v>
      </c>
      <c r="M115" s="454">
        <v>134481.56</v>
      </c>
      <c r="N115" s="433"/>
      <c r="O115" s="422">
        <v>134481.56</v>
      </c>
      <c r="P115" s="423">
        <f t="shared" si="6"/>
        <v>1</v>
      </c>
      <c r="Q115" s="536">
        <f>M115/G113*100</f>
        <v>0.12640815790135868</v>
      </c>
      <c r="R115" s="594" t="s">
        <v>595</v>
      </c>
      <c r="S115" s="398">
        <f t="shared" si="4"/>
        <v>0</v>
      </c>
      <c r="T115" s="37">
        <f t="shared" si="5"/>
        <v>0</v>
      </c>
    </row>
    <row r="116" spans="1:20" ht="32.25" customHeight="1" thickBot="1">
      <c r="A116" s="954" t="s">
        <v>129</v>
      </c>
      <c r="B116" s="955"/>
      <c r="C116" s="955"/>
      <c r="D116" s="955"/>
      <c r="E116" s="955"/>
      <c r="F116" s="956"/>
      <c r="G116" s="424">
        <f>SUM(G5:G115)</f>
        <v>1436802032.23</v>
      </c>
      <c r="H116" s="424"/>
      <c r="I116" s="425"/>
      <c r="J116" s="426"/>
      <c r="K116" s="427"/>
      <c r="L116" s="447">
        <f>SUM(L5:L115)</f>
        <v>256015116.96999994</v>
      </c>
      <c r="M116" s="448">
        <f>SUM(M5:M115)</f>
        <v>147467370.64</v>
      </c>
      <c r="N116" s="449">
        <f>SUM(N5:N115)</f>
        <v>120712183.20000002</v>
      </c>
      <c r="O116" s="450">
        <f>SUM(O5:O115)</f>
        <v>26755187.439999998</v>
      </c>
      <c r="P116" s="451">
        <f t="shared" si="6"/>
        <v>0.5760104027657098</v>
      </c>
      <c r="Q116" s="451">
        <f>M116/G116</f>
        <v>0.10263583105539048</v>
      </c>
      <c r="R116" s="558" t="s">
        <v>210</v>
      </c>
      <c r="S116" s="220">
        <f>T116/L116</f>
        <v>0.42398959723429014</v>
      </c>
      <c r="T116" s="334">
        <f>L116-M116</f>
        <v>108547746.32999995</v>
      </c>
    </row>
    <row r="117" spans="1:20" ht="28.5" customHeight="1">
      <c r="A117" s="221"/>
      <c r="B117" s="246" t="s">
        <v>156</v>
      </c>
      <c r="C117" s="936" t="s">
        <v>225</v>
      </c>
      <c r="D117" s="936"/>
      <c r="E117" s="936"/>
      <c r="F117" s="936"/>
      <c r="G117" s="247"/>
      <c r="H117" s="247"/>
      <c r="I117" s="248"/>
      <c r="J117" s="248"/>
      <c r="K117" s="249"/>
      <c r="L117" s="308" t="s">
        <v>210</v>
      </c>
      <c r="M117" s="222" t="s">
        <v>210</v>
      </c>
      <c r="N117" s="223">
        <f>N5+N6+N8+N10+N11+N12+N13+N14+N15+N16+N17+N18+N19+N20+N21+N22+N23+N28+N30+N31+N32+N33+N34+N35+N36+N38+N39+N42+N45+N46+N47+N48+N57+N58+N60+N63+N64+N66+N68+N70+N72+N73+N76+N77+N78+N83+N84+N85+N86+N87+N88+N89+N105+N109+N110+N111+N112</f>
        <v>15412600.379999997</v>
      </c>
      <c r="O117" s="224" t="s">
        <v>210</v>
      </c>
      <c r="P117" s="225" t="s">
        <v>210</v>
      </c>
      <c r="Q117" s="225" t="s">
        <v>210</v>
      </c>
      <c r="R117" s="559" t="s">
        <v>210</v>
      </c>
      <c r="S117" s="251" t="s">
        <v>210</v>
      </c>
      <c r="T117" s="251" t="s">
        <v>210</v>
      </c>
    </row>
    <row r="118" spans="1:20" ht="27" customHeight="1">
      <c r="A118" s="221"/>
      <c r="B118" s="310" t="s">
        <v>156</v>
      </c>
      <c r="C118" s="947" t="s">
        <v>329</v>
      </c>
      <c r="D118" s="947"/>
      <c r="E118" s="947"/>
      <c r="F118" s="947"/>
      <c r="G118" s="947"/>
      <c r="H118" s="947"/>
      <c r="I118" s="947"/>
      <c r="J118" s="947"/>
      <c r="K118" s="948"/>
      <c r="L118" s="309" t="s">
        <v>210</v>
      </c>
      <c r="M118" s="226" t="s">
        <v>210</v>
      </c>
      <c r="N118" s="227">
        <f>N40+N41+N49+N51+N53+N59+N91+N92+N93+N94+N95+N96+N99+N100+N101+N102+N103</f>
        <v>105299582.82000002</v>
      </c>
      <c r="O118" s="228">
        <f>O116</f>
        <v>26755187.439999998</v>
      </c>
      <c r="P118" s="229" t="s">
        <v>210</v>
      </c>
      <c r="Q118" s="229" t="s">
        <v>210</v>
      </c>
      <c r="R118" s="560" t="s">
        <v>210</v>
      </c>
      <c r="S118" s="252" t="s">
        <v>210</v>
      </c>
      <c r="T118" s="252" t="s">
        <v>210</v>
      </c>
    </row>
    <row r="119" spans="1:17" ht="15">
      <c r="A119" s="66"/>
      <c r="B119" s="158"/>
      <c r="C119" s="71"/>
      <c r="D119" s="71"/>
      <c r="E119" s="68"/>
      <c r="F119" s="159"/>
      <c r="G119" s="159"/>
      <c r="H119" s="159"/>
      <c r="I119" s="159"/>
      <c r="J119" s="159"/>
      <c r="K119" s="159"/>
      <c r="L119" s="159"/>
      <c r="M119" s="159"/>
      <c r="N119" s="160"/>
      <c r="O119" s="71"/>
      <c r="P119" s="71"/>
      <c r="Q119" s="71"/>
    </row>
    <row r="120" spans="1:17" ht="15">
      <c r="A120" s="66"/>
      <c r="B120" s="161"/>
      <c r="C120" s="154"/>
      <c r="D120" s="154"/>
      <c r="E120" s="58"/>
      <c r="F120" s="162"/>
      <c r="G120" s="162"/>
      <c r="H120" s="162"/>
      <c r="I120" s="162"/>
      <c r="J120" s="162"/>
      <c r="K120" s="162"/>
      <c r="L120" s="162"/>
      <c r="M120" s="162"/>
      <c r="N120" s="160"/>
      <c r="O120" s="71"/>
      <c r="P120" s="71"/>
      <c r="Q120" s="71"/>
    </row>
    <row r="121" spans="1:17" ht="15">
      <c r="A121" s="66"/>
      <c r="B121" s="161"/>
      <c r="C121" s="154"/>
      <c r="D121" s="154"/>
      <c r="E121" s="58"/>
      <c r="F121" s="162"/>
      <c r="G121" s="162"/>
      <c r="H121" s="162"/>
      <c r="I121" s="162"/>
      <c r="J121" s="162"/>
      <c r="K121" s="162"/>
      <c r="L121" s="163"/>
      <c r="M121" s="163"/>
      <c r="N121" s="160"/>
      <c r="O121" s="71"/>
      <c r="P121" s="172"/>
      <c r="Q121" s="172"/>
    </row>
    <row r="122" spans="1:17" ht="15">
      <c r="A122" s="66"/>
      <c r="B122" s="161"/>
      <c r="C122" s="155"/>
      <c r="D122" s="155"/>
      <c r="E122" s="58"/>
      <c r="F122" s="162"/>
      <c r="G122" s="162"/>
      <c r="H122" s="162"/>
      <c r="I122" s="162"/>
      <c r="J122" s="162"/>
      <c r="K122" s="162"/>
      <c r="L122" s="162"/>
      <c r="M122" s="163"/>
      <c r="N122" s="160"/>
      <c r="O122" s="71"/>
      <c r="P122" s="71"/>
      <c r="Q122" s="71"/>
    </row>
    <row r="123" spans="1:17" ht="15">
      <c r="A123" s="17"/>
      <c r="B123" s="148"/>
      <c r="C123" s="154"/>
      <c r="D123" s="154"/>
      <c r="E123" s="148"/>
      <c r="F123" s="156"/>
      <c r="G123" s="156"/>
      <c r="H123" s="156"/>
      <c r="I123" s="156"/>
      <c r="J123" s="156"/>
      <c r="K123" s="156"/>
      <c r="L123" s="156"/>
      <c r="M123" s="156"/>
      <c r="N123" s="20"/>
      <c r="O123" s="21"/>
      <c r="P123" s="21"/>
      <c r="Q123" s="21"/>
    </row>
    <row r="124" spans="1:17" ht="15">
      <c r="A124" s="17"/>
      <c r="B124" s="150"/>
      <c r="C124" s="148"/>
      <c r="D124" s="148"/>
      <c r="E124" s="148"/>
      <c r="F124" s="156"/>
      <c r="G124" s="156"/>
      <c r="H124" s="156"/>
      <c r="I124" s="156"/>
      <c r="J124" s="156"/>
      <c r="K124" s="156"/>
      <c r="L124" s="156"/>
      <c r="M124" s="156"/>
      <c r="N124" s="20"/>
      <c r="O124" s="21"/>
      <c r="P124" s="21"/>
      <c r="Q124" s="21"/>
    </row>
    <row r="125" spans="1:17" ht="15">
      <c r="A125" s="22"/>
      <c r="B125" s="151"/>
      <c r="C125" s="58"/>
      <c r="D125" s="58"/>
      <c r="E125" s="149"/>
      <c r="F125" s="149"/>
      <c r="G125" s="149"/>
      <c r="H125" s="149"/>
      <c r="I125" s="149"/>
      <c r="J125" s="149"/>
      <c r="K125" s="149"/>
      <c r="L125" s="149"/>
      <c r="M125" s="149"/>
      <c r="O125" s="21"/>
      <c r="P125" s="21"/>
      <c r="Q125" s="21"/>
    </row>
    <row r="126" spans="1:17" ht="15">
      <c r="A126" s="22"/>
      <c r="B126" s="151"/>
      <c r="C126" s="58"/>
      <c r="D126" s="58"/>
      <c r="E126" s="149"/>
      <c r="F126" s="149"/>
      <c r="G126" s="149"/>
      <c r="H126" s="149"/>
      <c r="I126" s="149"/>
      <c r="J126" s="149"/>
      <c r="K126" s="149"/>
      <c r="L126" s="149"/>
      <c r="M126" s="149"/>
      <c r="N126" s="21"/>
      <c r="O126" s="21"/>
      <c r="P126" s="21"/>
      <c r="Q126" s="21"/>
    </row>
    <row r="127" spans="1:17" ht="15">
      <c r="A127" s="22"/>
      <c r="B127" s="24"/>
      <c r="C127" s="58"/>
      <c r="D127" s="58"/>
      <c r="E127" s="149"/>
      <c r="F127" s="149"/>
      <c r="G127" s="149"/>
      <c r="H127" s="149"/>
      <c r="I127" s="149"/>
      <c r="J127" s="149"/>
      <c r="K127" s="149"/>
      <c r="L127" s="149"/>
      <c r="M127" s="149"/>
      <c r="N127" s="21"/>
      <c r="O127" s="21"/>
      <c r="P127" s="21"/>
      <c r="Q127" s="21"/>
    </row>
    <row r="128" spans="1:18" ht="15">
      <c r="A128" s="22"/>
      <c r="B128" s="24"/>
      <c r="C128" s="58"/>
      <c r="D128" s="58"/>
      <c r="E128" s="149"/>
      <c r="F128" s="149"/>
      <c r="G128" s="149"/>
      <c r="H128" s="149"/>
      <c r="I128" s="149"/>
      <c r="J128" s="149"/>
      <c r="K128" s="149"/>
      <c r="L128" s="149"/>
      <c r="M128" s="21"/>
      <c r="N128" s="21"/>
      <c r="O128" s="21"/>
      <c r="P128" s="9"/>
      <c r="Q128" s="9"/>
      <c r="R128" s="9"/>
    </row>
    <row r="129" spans="1:18" ht="15" customHeight="1">
      <c r="A129" s="22"/>
      <c r="B129" s="24"/>
      <c r="C129" s="58"/>
      <c r="D129" s="58"/>
      <c r="E129" s="149"/>
      <c r="F129" s="149"/>
      <c r="G129" s="149"/>
      <c r="H129" s="149"/>
      <c r="I129" s="149"/>
      <c r="J129" s="149"/>
      <c r="K129" s="149"/>
      <c r="L129" s="149"/>
      <c r="M129" s="21"/>
      <c r="N129" s="21"/>
      <c r="O129" s="21"/>
      <c r="P129" s="21"/>
      <c r="Q129" s="9"/>
      <c r="R129" s="9"/>
    </row>
    <row r="130" spans="1:18" ht="15.75" customHeight="1">
      <c r="A130" s="22"/>
      <c r="B130" s="24"/>
      <c r="C130" s="149"/>
      <c r="D130" s="149"/>
      <c r="E130" s="149"/>
      <c r="F130" s="149"/>
      <c r="G130" s="149"/>
      <c r="H130" s="149"/>
      <c r="I130" s="149"/>
      <c r="J130" s="149"/>
      <c r="K130" s="149"/>
      <c r="L130" s="149"/>
      <c r="M130" s="21"/>
      <c r="N130" s="21"/>
      <c r="O130" s="21"/>
      <c r="P130" s="21"/>
      <c r="Q130" s="9"/>
      <c r="R130" s="9"/>
    </row>
    <row r="131" spans="1:18" ht="15">
      <c r="A131" s="22"/>
      <c r="B131" s="24"/>
      <c r="C131" s="149"/>
      <c r="D131" s="149"/>
      <c r="E131" s="149"/>
      <c r="F131" s="149"/>
      <c r="G131" s="149"/>
      <c r="H131" s="149"/>
      <c r="I131" s="149"/>
      <c r="J131" s="149"/>
      <c r="K131" s="149"/>
      <c r="L131" s="149"/>
      <c r="M131" s="149"/>
      <c r="N131" s="21"/>
      <c r="O131" s="21"/>
      <c r="P131" s="21"/>
      <c r="Q131" s="21"/>
      <c r="R131" s="9"/>
    </row>
    <row r="132" spans="1:17" ht="15">
      <c r="A132" s="17"/>
      <c r="B132" s="148"/>
      <c r="C132" s="148"/>
      <c r="D132" s="148"/>
      <c r="E132" s="148"/>
      <c r="F132" s="156"/>
      <c r="G132" s="156"/>
      <c r="H132" s="156"/>
      <c r="I132" s="156"/>
      <c r="J132" s="156"/>
      <c r="K132" s="156"/>
      <c r="L132" s="156"/>
      <c r="M132" s="156"/>
      <c r="N132" s="21"/>
      <c r="O132" s="21"/>
      <c r="P132" s="21"/>
      <c r="Q132" s="21"/>
    </row>
    <row r="133" spans="1:18" ht="15">
      <c r="A133" s="17"/>
      <c r="B133" s="148"/>
      <c r="C133" s="148"/>
      <c r="D133" s="148"/>
      <c r="E133" s="148"/>
      <c r="F133" s="156"/>
      <c r="G133" s="156"/>
      <c r="H133" s="156"/>
      <c r="I133" s="156"/>
      <c r="J133" s="156"/>
      <c r="K133" s="156"/>
      <c r="L133" s="156"/>
      <c r="M133" s="156"/>
      <c r="N133" s="21"/>
      <c r="O133" s="21"/>
      <c r="P133" s="155"/>
      <c r="Q133" s="155"/>
      <c r="R133" s="345"/>
    </row>
    <row r="134" spans="1:18" ht="15">
      <c r="A134" s="17"/>
      <c r="B134" s="148"/>
      <c r="C134" s="148"/>
      <c r="D134" s="148"/>
      <c r="E134" s="148"/>
      <c r="F134" s="156"/>
      <c r="G134" s="156"/>
      <c r="H134" s="156"/>
      <c r="I134" s="156"/>
      <c r="J134" s="156"/>
      <c r="K134" s="156"/>
      <c r="L134" s="156"/>
      <c r="M134" s="156"/>
      <c r="N134" s="21"/>
      <c r="O134" s="21"/>
      <c r="P134" s="155"/>
      <c r="Q134" s="155"/>
      <c r="R134" s="345"/>
    </row>
    <row r="135" spans="1:18" ht="15">
      <c r="A135" s="17"/>
      <c r="B135" s="148"/>
      <c r="C135" s="148"/>
      <c r="D135" s="148"/>
      <c r="E135" s="148"/>
      <c r="F135" s="156"/>
      <c r="G135" s="156"/>
      <c r="H135" s="156"/>
      <c r="I135" s="156"/>
      <c r="J135" s="156"/>
      <c r="K135" s="156"/>
      <c r="L135" s="156"/>
      <c r="M135" s="156"/>
      <c r="N135" s="21"/>
      <c r="O135" s="21"/>
      <c r="P135" s="155"/>
      <c r="Q135" s="155"/>
      <c r="R135" s="345"/>
    </row>
    <row r="136" spans="1:17" ht="15">
      <c r="A136" s="17"/>
      <c r="B136" s="148"/>
      <c r="C136" s="148"/>
      <c r="D136" s="148"/>
      <c r="E136" s="148"/>
      <c r="F136" s="156"/>
      <c r="G136" s="156"/>
      <c r="H136" s="156"/>
      <c r="I136" s="156"/>
      <c r="J136" s="156"/>
      <c r="K136" s="156"/>
      <c r="L136" s="156"/>
      <c r="M136" s="156"/>
      <c r="N136" s="21"/>
      <c r="O136" s="21"/>
      <c r="P136" s="21"/>
      <c r="Q136" s="21"/>
    </row>
    <row r="137" spans="1:17" ht="15">
      <c r="A137" s="17"/>
      <c r="B137" s="149"/>
      <c r="C137" s="149"/>
      <c r="D137" s="149"/>
      <c r="E137" s="149"/>
      <c r="F137" s="157"/>
      <c r="G137" s="157"/>
      <c r="H137" s="157"/>
      <c r="I137" s="157"/>
      <c r="J137" s="157"/>
      <c r="K137" s="157"/>
      <c r="L137" s="157"/>
      <c r="M137" s="157"/>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1:17" ht="15">
      <c r="A178" s="19"/>
      <c r="F178" s="23"/>
      <c r="G178" s="23"/>
      <c r="H178" s="23"/>
      <c r="I178" s="23"/>
      <c r="J178" s="23"/>
      <c r="K178" s="23"/>
      <c r="L178" s="23"/>
      <c r="M178" s="23"/>
      <c r="N178" s="9"/>
      <c r="O178" s="9"/>
      <c r="P178" s="9"/>
      <c r="Q178" s="9"/>
    </row>
    <row r="179" spans="1:17" ht="15">
      <c r="A179" s="19"/>
      <c r="F179" s="23"/>
      <c r="G179" s="23"/>
      <c r="H179" s="23"/>
      <c r="I179" s="23"/>
      <c r="J179" s="23"/>
      <c r="K179" s="23"/>
      <c r="L179" s="23"/>
      <c r="M179" s="23"/>
      <c r="N179" s="9"/>
      <c r="O179" s="9"/>
      <c r="P179" s="9"/>
      <c r="Q179" s="9"/>
    </row>
    <row r="180" spans="1:17" ht="15">
      <c r="A180" s="19"/>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row r="197" spans="6:13" ht="15">
      <c r="F197" s="23"/>
      <c r="G197" s="23"/>
      <c r="H197" s="23"/>
      <c r="I197" s="23"/>
      <c r="J197" s="23"/>
      <c r="K197" s="23"/>
      <c r="L197" s="23"/>
      <c r="M197" s="23"/>
    </row>
  </sheetData>
  <sheetProtection/>
  <mergeCells count="315">
    <mergeCell ref="R5:R9"/>
    <mergeCell ref="N6:N7"/>
    <mergeCell ref="N8:N9"/>
    <mergeCell ref="R17:R18"/>
    <mergeCell ref="D113:D115"/>
    <mergeCell ref="D2:D3"/>
    <mergeCell ref="D5:D9"/>
    <mergeCell ref="D10:D14"/>
    <mergeCell ref="D15:D23"/>
    <mergeCell ref="D24:D33"/>
    <mergeCell ref="D34:D39"/>
    <mergeCell ref="D42:D46"/>
    <mergeCell ref="D47:D50"/>
    <mergeCell ref="D51:D52"/>
    <mergeCell ref="D66:D73"/>
    <mergeCell ref="J68:J69"/>
    <mergeCell ref="G53:G54"/>
    <mergeCell ref="F53:F54"/>
    <mergeCell ref="E53:E54"/>
    <mergeCell ref="R47:R48"/>
    <mergeCell ref="R37:R38"/>
    <mergeCell ref="K51:K52"/>
    <mergeCell ref="K53:K54"/>
    <mergeCell ref="F51:F52"/>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S2:T2"/>
    <mergeCell ref="R2:R3"/>
    <mergeCell ref="B2:B3"/>
    <mergeCell ref="C2:C3"/>
    <mergeCell ref="I2:I3"/>
    <mergeCell ref="G2:G3"/>
    <mergeCell ref="A2:A3"/>
    <mergeCell ref="F2:F3"/>
    <mergeCell ref="E2:E3"/>
    <mergeCell ref="A15:A23"/>
    <mergeCell ref="B15:B23"/>
    <mergeCell ref="C15:C23"/>
    <mergeCell ref="A24:A33"/>
    <mergeCell ref="B24:B33"/>
    <mergeCell ref="A10:A14"/>
    <mergeCell ref="B10:B14"/>
    <mergeCell ref="C10:C14"/>
    <mergeCell ref="C34:C39"/>
    <mergeCell ref="E10:E14"/>
    <mergeCell ref="F10:F14"/>
    <mergeCell ref="G10:G14"/>
    <mergeCell ref="I51:I52"/>
    <mergeCell ref="I53:I54"/>
    <mergeCell ref="I10:I14"/>
    <mergeCell ref="C118:K118"/>
    <mergeCell ref="Q24:Q32"/>
    <mergeCell ref="Q84:Q85"/>
    <mergeCell ref="Q86:Q87"/>
    <mergeCell ref="K84:K85"/>
    <mergeCell ref="K24:K25"/>
    <mergeCell ref="K26:K27"/>
    <mergeCell ref="K28:K29"/>
    <mergeCell ref="C63:C64"/>
    <mergeCell ref="E63:E64"/>
    <mergeCell ref="F63:F64"/>
    <mergeCell ref="G63:G64"/>
    <mergeCell ref="A116:F116"/>
    <mergeCell ref="A51:A52"/>
    <mergeCell ref="B51:B52"/>
    <mergeCell ref="B42:B46"/>
    <mergeCell ref="C42:C46"/>
    <mergeCell ref="E42:E46"/>
    <mergeCell ref="C117:F117"/>
    <mergeCell ref="B113:B115"/>
    <mergeCell ref="C113:C115"/>
    <mergeCell ref="E113:E115"/>
    <mergeCell ref="F113:F115"/>
    <mergeCell ref="A101:A104"/>
    <mergeCell ref="B101:B104"/>
    <mergeCell ref="C101:C104"/>
    <mergeCell ref="E101:E104"/>
    <mergeCell ref="F101:F104"/>
    <mergeCell ref="A99:A100"/>
    <mergeCell ref="C99:C100"/>
    <mergeCell ref="D91:D98"/>
    <mergeCell ref="D99:D100"/>
    <mergeCell ref="D101:D104"/>
    <mergeCell ref="G91:G98"/>
    <mergeCell ref="A91:A98"/>
    <mergeCell ref="B91:B98"/>
    <mergeCell ref="A113:A115"/>
    <mergeCell ref="B55:B62"/>
    <mergeCell ref="G88:G89"/>
    <mergeCell ref="G78:G81"/>
    <mergeCell ref="I78:I81"/>
    <mergeCell ref="I86:I87"/>
    <mergeCell ref="G86:G87"/>
    <mergeCell ref="G101:G104"/>
    <mergeCell ref="C91:C98"/>
    <mergeCell ref="E99:E100"/>
    <mergeCell ref="F99:F100"/>
    <mergeCell ref="G99:G100"/>
    <mergeCell ref="B99:B100"/>
    <mergeCell ref="E91:E98"/>
    <mergeCell ref="I47:I50"/>
    <mergeCell ref="G51:G52"/>
    <mergeCell ref="E51:E52"/>
    <mergeCell ref="D53:D54"/>
    <mergeCell ref="I91:I98"/>
    <mergeCell ref="F91:F98"/>
    <mergeCell ref="D86:D87"/>
    <mergeCell ref="F86:F87"/>
    <mergeCell ref="D78:D81"/>
    <mergeCell ref="D84:D85"/>
    <mergeCell ref="D88:D89"/>
    <mergeCell ref="C86:C87"/>
    <mergeCell ref="B86:B87"/>
    <mergeCell ref="E86:E87"/>
    <mergeCell ref="B84:B85"/>
    <mergeCell ref="E84:E85"/>
    <mergeCell ref="C84:C85"/>
    <mergeCell ref="I63:I64"/>
    <mergeCell ref="L58:L60"/>
    <mergeCell ref="P58:P60"/>
    <mergeCell ref="K58:K60"/>
    <mergeCell ref="A88:A89"/>
    <mergeCell ref="A84:A85"/>
    <mergeCell ref="A86:A87"/>
    <mergeCell ref="F84:F85"/>
    <mergeCell ref="F88:F89"/>
    <mergeCell ref="B88:B89"/>
    <mergeCell ref="C88:C89"/>
    <mergeCell ref="E88:E89"/>
    <mergeCell ref="F55:F62"/>
    <mergeCell ref="C55:C62"/>
    <mergeCell ref="A63:A64"/>
    <mergeCell ref="E66:E73"/>
    <mergeCell ref="F66:F73"/>
    <mergeCell ref="A66:A73"/>
    <mergeCell ref="B66:B73"/>
    <mergeCell ref="A78:A81"/>
    <mergeCell ref="C78:C81"/>
    <mergeCell ref="E78:E81"/>
    <mergeCell ref="F78:F81"/>
    <mergeCell ref="B78:B81"/>
    <mergeCell ref="I42:I46"/>
    <mergeCell ref="C66:C73"/>
    <mergeCell ref="B63:B64"/>
    <mergeCell ref="E55:E62"/>
    <mergeCell ref="D55:D62"/>
    <mergeCell ref="D63:D64"/>
    <mergeCell ref="C53:C54"/>
    <mergeCell ref="C51:C52"/>
    <mergeCell ref="A34:A39"/>
    <mergeCell ref="B34:B39"/>
    <mergeCell ref="B53:B54"/>
    <mergeCell ref="A53:A54"/>
    <mergeCell ref="I55:I62"/>
    <mergeCell ref="H47:H50"/>
    <mergeCell ref="H42:H46"/>
    <mergeCell ref="A55:A62"/>
    <mergeCell ref="A42:A46"/>
    <mergeCell ref="I66:I73"/>
    <mergeCell ref="H51:H52"/>
    <mergeCell ref="H53:H54"/>
    <mergeCell ref="H55:H62"/>
    <mergeCell ref="H63:H64"/>
    <mergeCell ref="H66:H73"/>
    <mergeCell ref="G55:G62"/>
    <mergeCell ref="A5:A9"/>
    <mergeCell ref="B5:B9"/>
    <mergeCell ref="C5:C9"/>
    <mergeCell ref="A47:A50"/>
    <mergeCell ref="B47:B50"/>
    <mergeCell ref="C47:C50"/>
    <mergeCell ref="E47:E50"/>
    <mergeCell ref="F47:F50"/>
    <mergeCell ref="G47:G50"/>
    <mergeCell ref="F42:F46"/>
    <mergeCell ref="G42:G46"/>
    <mergeCell ref="E15:E23"/>
    <mergeCell ref="F15:F23"/>
    <mergeCell ref="E5:E9"/>
    <mergeCell ref="F5:F9"/>
    <mergeCell ref="G5:G9"/>
    <mergeCell ref="G15:G23"/>
    <mergeCell ref="E24:E33"/>
    <mergeCell ref="F24:F33"/>
    <mergeCell ref="G24:G33"/>
    <mergeCell ref="E34:E39"/>
    <mergeCell ref="F34:F39"/>
    <mergeCell ref="G34:G39"/>
    <mergeCell ref="C24:C33"/>
    <mergeCell ref="Q47:Q50"/>
    <mergeCell ref="R66:R67"/>
    <mergeCell ref="J42:J44"/>
    <mergeCell ref="P66:P67"/>
    <mergeCell ref="O66:O67"/>
    <mergeCell ref="N66:N67"/>
    <mergeCell ref="J66:J67"/>
    <mergeCell ref="K56:K57"/>
    <mergeCell ref="R42:R45"/>
    <mergeCell ref="Q42:Q46"/>
    <mergeCell ref="Q55:Q62"/>
    <mergeCell ref="K47:K48"/>
    <mergeCell ref="K63:K64"/>
    <mergeCell ref="L42:L44"/>
    <mergeCell ref="M42:M44"/>
    <mergeCell ref="N42:N44"/>
    <mergeCell ref="O42:O44"/>
    <mergeCell ref="P42:P44"/>
    <mergeCell ref="K42:K45"/>
    <mergeCell ref="J58:J60"/>
    <mergeCell ref="R63:R64"/>
    <mergeCell ref="Q51:Q52"/>
    <mergeCell ref="Q53:Q54"/>
    <mergeCell ref="Q63:Q64"/>
    <mergeCell ref="H113:H115"/>
    <mergeCell ref="Q101:Q102"/>
    <mergeCell ref="Q78:Q80"/>
    <mergeCell ref="I84:I85"/>
    <mergeCell ref="I101:I104"/>
    <mergeCell ref="I88:I89"/>
    <mergeCell ref="H91:H98"/>
    <mergeCell ref="H99:H100"/>
    <mergeCell ref="H101:H104"/>
    <mergeCell ref="H78:H81"/>
    <mergeCell ref="H84:H85"/>
    <mergeCell ref="H86:H87"/>
    <mergeCell ref="H88:H89"/>
    <mergeCell ref="J101:J102"/>
    <mergeCell ref="J78:J79"/>
    <mergeCell ref="J91:J95"/>
    <mergeCell ref="Q91:Q96"/>
    <mergeCell ref="K78:K80"/>
    <mergeCell ref="R78:R79"/>
    <mergeCell ref="P78:P79"/>
    <mergeCell ref="O78:O79"/>
    <mergeCell ref="N78:N79"/>
    <mergeCell ref="M78:M79"/>
    <mergeCell ref="L78:L79"/>
    <mergeCell ref="M66:M67"/>
    <mergeCell ref="L66:L67"/>
    <mergeCell ref="G113:G115"/>
    <mergeCell ref="I113:I115"/>
    <mergeCell ref="I99:I100"/>
    <mergeCell ref="G84:G85"/>
    <mergeCell ref="K86:K87"/>
    <mergeCell ref="R70:R71"/>
    <mergeCell ref="P70:P71"/>
    <mergeCell ref="O70:O71"/>
    <mergeCell ref="N70:N71"/>
    <mergeCell ref="M70:M71"/>
    <mergeCell ref="L70:L71"/>
    <mergeCell ref="J70:J71"/>
    <mergeCell ref="L68:L69"/>
    <mergeCell ref="G74:G75"/>
    <mergeCell ref="H74:H75"/>
    <mergeCell ref="I74:I75"/>
    <mergeCell ref="A74:A75"/>
    <mergeCell ref="B74:B75"/>
    <mergeCell ref="C74:C75"/>
    <mergeCell ref="D74:D75"/>
    <mergeCell ref="E74:E75"/>
    <mergeCell ref="F74:F75"/>
    <mergeCell ref="R68:R69"/>
    <mergeCell ref="K66:K69"/>
    <mergeCell ref="K70:K72"/>
    <mergeCell ref="O68:O69"/>
    <mergeCell ref="P68:P69"/>
    <mergeCell ref="Q66:Q73"/>
    <mergeCell ref="M68:M69"/>
    <mergeCell ref="N68:N69"/>
    <mergeCell ref="G66:G73"/>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9.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4"/>
  <sheetViews>
    <sheetView zoomScale="70" zoomScaleNormal="70" zoomScalePageLayoutView="55" workbookViewId="0" topLeftCell="A24">
      <selection activeCell="C67" sqref="C67"/>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32" customWidth="1"/>
    <col min="8" max="8" width="13.8515625" style="573"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649</v>
      </c>
      <c r="C1" s="524"/>
      <c r="D1" s="524"/>
      <c r="E1" s="524"/>
      <c r="F1" s="524"/>
      <c r="G1" s="529"/>
      <c r="H1" s="566"/>
      <c r="I1" s="165"/>
      <c r="J1" s="165"/>
      <c r="K1" s="165"/>
      <c r="L1" s="165"/>
      <c r="M1" s="165"/>
      <c r="N1" s="165"/>
      <c r="O1" s="165"/>
      <c r="P1" s="165"/>
      <c r="Q1" s="165"/>
      <c r="R1" s="235" t="s">
        <v>293</v>
      </c>
    </row>
    <row r="2" spans="1:20" ht="32.25" customHeight="1">
      <c r="A2" s="1052" t="s">
        <v>327</v>
      </c>
      <c r="B2" s="1054" t="s">
        <v>144</v>
      </c>
      <c r="C2" s="1054" t="s">
        <v>135</v>
      </c>
      <c r="D2" s="1054" t="s">
        <v>612</v>
      </c>
      <c r="E2" s="1054" t="s">
        <v>136</v>
      </c>
      <c r="F2" s="1069" t="s">
        <v>140</v>
      </c>
      <c r="G2" s="1132" t="s">
        <v>207</v>
      </c>
      <c r="H2" s="1130" t="s">
        <v>504</v>
      </c>
      <c r="I2" s="1054" t="s">
        <v>358</v>
      </c>
      <c r="J2" s="1054" t="s">
        <v>137</v>
      </c>
      <c r="K2" s="1116" t="s">
        <v>208</v>
      </c>
      <c r="L2" s="1054" t="s">
        <v>310</v>
      </c>
      <c r="M2" s="1118" t="s">
        <v>308</v>
      </c>
      <c r="N2" s="1118"/>
      <c r="O2" s="1118"/>
      <c r="P2" s="1054" t="s">
        <v>309</v>
      </c>
      <c r="Q2" s="1116" t="s">
        <v>269</v>
      </c>
      <c r="R2" s="1102" t="s">
        <v>209</v>
      </c>
      <c r="S2" s="1104" t="s">
        <v>397</v>
      </c>
      <c r="T2" s="1105"/>
    </row>
    <row r="3" spans="1:20" ht="164.25" customHeight="1">
      <c r="A3" s="1053"/>
      <c r="B3" s="1055"/>
      <c r="C3" s="1055"/>
      <c r="D3" s="782"/>
      <c r="E3" s="1055"/>
      <c r="F3" s="1070"/>
      <c r="G3" s="1133"/>
      <c r="H3" s="1131"/>
      <c r="I3" s="1055"/>
      <c r="J3" s="1055"/>
      <c r="K3" s="1117"/>
      <c r="L3" s="1055"/>
      <c r="M3" s="576" t="s">
        <v>211</v>
      </c>
      <c r="N3" s="577" t="s">
        <v>212</v>
      </c>
      <c r="O3" s="240" t="s">
        <v>276</v>
      </c>
      <c r="P3" s="1055"/>
      <c r="Q3" s="1117"/>
      <c r="R3" s="1103"/>
      <c r="S3" s="244" t="s">
        <v>398</v>
      </c>
      <c r="T3" s="377" t="s">
        <v>194</v>
      </c>
    </row>
    <row r="4" spans="1:20" ht="48.75" customHeight="1" thickBot="1">
      <c r="A4" s="379" t="s">
        <v>259</v>
      </c>
      <c r="B4" s="241" t="s">
        <v>260</v>
      </c>
      <c r="C4" s="241" t="s">
        <v>261</v>
      </c>
      <c r="D4" s="241" t="s">
        <v>262</v>
      </c>
      <c r="E4" s="241" t="s">
        <v>263</v>
      </c>
      <c r="F4" s="241" t="s">
        <v>264</v>
      </c>
      <c r="G4" s="241" t="s">
        <v>265</v>
      </c>
      <c r="H4" s="567" t="s">
        <v>266</v>
      </c>
      <c r="I4" s="241" t="s">
        <v>267</v>
      </c>
      <c r="J4" s="242" t="s">
        <v>268</v>
      </c>
      <c r="K4" s="242" t="s">
        <v>505</v>
      </c>
      <c r="L4" s="241" t="s">
        <v>613</v>
      </c>
      <c r="M4" s="241" t="s">
        <v>614</v>
      </c>
      <c r="N4" s="243" t="s">
        <v>506</v>
      </c>
      <c r="O4" s="241" t="s">
        <v>615</v>
      </c>
      <c r="P4" s="575" t="s">
        <v>616</v>
      </c>
      <c r="Q4" s="241" t="s">
        <v>617</v>
      </c>
      <c r="R4" s="574" t="s">
        <v>618</v>
      </c>
      <c r="S4" s="243" t="s">
        <v>399</v>
      </c>
      <c r="T4" s="241" t="s">
        <v>400</v>
      </c>
    </row>
    <row r="5" spans="1:20" ht="377.25" customHeight="1">
      <c r="A5" s="1063">
        <v>1</v>
      </c>
      <c r="B5" s="1056" t="s">
        <v>63</v>
      </c>
      <c r="C5" s="1059" t="s">
        <v>325</v>
      </c>
      <c r="D5" s="1059" t="s">
        <v>620</v>
      </c>
      <c r="E5" s="1129" t="s">
        <v>73</v>
      </c>
      <c r="F5" s="1071" t="s">
        <v>8</v>
      </c>
      <c r="G5" s="1060">
        <v>362375172.18</v>
      </c>
      <c r="H5" s="1066" t="s">
        <v>63</v>
      </c>
      <c r="I5" s="1106" t="s">
        <v>283</v>
      </c>
      <c r="J5" s="643" t="s">
        <v>138</v>
      </c>
      <c r="K5" s="644" t="s">
        <v>280</v>
      </c>
      <c r="L5" s="645">
        <v>101386743</v>
      </c>
      <c r="M5" s="645">
        <v>9754815.5</v>
      </c>
      <c r="N5" s="635" t="s">
        <v>717</v>
      </c>
      <c r="O5" s="646"/>
      <c r="P5" s="647">
        <f>M5/L5</f>
        <v>0.09621391526503618</v>
      </c>
      <c r="Q5" s="1108">
        <f>(M5+M6+M7)/G5</f>
        <v>0.026919105526232247</v>
      </c>
      <c r="R5" s="733" t="s">
        <v>715</v>
      </c>
      <c r="S5" s="578">
        <f>T5/L5</f>
        <v>0.9037860847349638</v>
      </c>
      <c r="T5" s="10">
        <f>L5-M5</f>
        <v>91631927.5</v>
      </c>
    </row>
    <row r="6" spans="1:20" ht="342.75" customHeight="1">
      <c r="A6" s="1006"/>
      <c r="B6" s="1057"/>
      <c r="C6" s="1009"/>
      <c r="D6" s="807"/>
      <c r="E6" s="1075"/>
      <c r="F6" s="1028"/>
      <c r="G6" s="1061"/>
      <c r="H6" s="1067"/>
      <c r="I6" s="1107"/>
      <c r="J6" s="638" t="s">
        <v>30</v>
      </c>
      <c r="K6" s="213" t="s">
        <v>289</v>
      </c>
      <c r="L6" s="649">
        <v>1000000</v>
      </c>
      <c r="M6" s="645">
        <f>N6+O6</f>
        <v>0</v>
      </c>
      <c r="N6" s="485"/>
      <c r="O6" s="650">
        <v>0</v>
      </c>
      <c r="P6" s="651">
        <f aca="true" t="shared" si="0" ref="P6:P65">M6/L6</f>
        <v>0</v>
      </c>
      <c r="Q6" s="1101"/>
      <c r="R6" s="648" t="s">
        <v>650</v>
      </c>
      <c r="S6" s="579">
        <f aca="true" t="shared" si="1" ref="S6:S57">T6/L6</f>
        <v>1</v>
      </c>
      <c r="T6" s="5">
        <f aca="true" t="shared" si="2" ref="T6:T57">L6-M6</f>
        <v>1000000</v>
      </c>
    </row>
    <row r="7" spans="1:20" ht="83.25" customHeight="1">
      <c r="A7" s="1007"/>
      <c r="B7" s="1058"/>
      <c r="C7" s="1010"/>
      <c r="D7" s="782"/>
      <c r="E7" s="1076"/>
      <c r="F7" s="1029"/>
      <c r="G7" s="1062"/>
      <c r="H7" s="1068"/>
      <c r="I7" s="1078"/>
      <c r="J7" s="652" t="s">
        <v>30</v>
      </c>
      <c r="K7" s="653" t="s">
        <v>289</v>
      </c>
      <c r="L7" s="654">
        <v>600000</v>
      </c>
      <c r="M7" s="645">
        <v>0</v>
      </c>
      <c r="N7" s="486">
        <v>0</v>
      </c>
      <c r="O7" s="650">
        <v>0</v>
      </c>
      <c r="P7" s="651">
        <f t="shared" si="0"/>
        <v>0</v>
      </c>
      <c r="Q7" s="1085"/>
      <c r="R7" s="648" t="s">
        <v>651</v>
      </c>
      <c r="S7" s="579">
        <f t="shared" si="1"/>
        <v>1</v>
      </c>
      <c r="T7" s="5">
        <f t="shared" si="2"/>
        <v>600000</v>
      </c>
    </row>
    <row r="8" spans="1:89" ht="167.25" customHeight="1">
      <c r="A8" s="655">
        <v>2</v>
      </c>
      <c r="B8" s="656" t="s">
        <v>63</v>
      </c>
      <c r="C8" s="652" t="s">
        <v>286</v>
      </c>
      <c r="D8" s="652" t="s">
        <v>620</v>
      </c>
      <c r="E8" s="657" t="s">
        <v>74</v>
      </c>
      <c r="F8" s="658" t="s">
        <v>8</v>
      </c>
      <c r="G8" s="659">
        <v>462724796.59</v>
      </c>
      <c r="H8" s="568" t="s">
        <v>63</v>
      </c>
      <c r="I8" s="562" t="s">
        <v>284</v>
      </c>
      <c r="J8" s="653" t="s">
        <v>138</v>
      </c>
      <c r="K8" s="653" t="s">
        <v>281</v>
      </c>
      <c r="L8" s="649">
        <v>13225052</v>
      </c>
      <c r="M8" s="645">
        <v>96798.25</v>
      </c>
      <c r="N8" s="729" t="s">
        <v>716</v>
      </c>
      <c r="O8" s="660"/>
      <c r="P8" s="651">
        <f t="shared" si="0"/>
        <v>0.007319309595153199</v>
      </c>
      <c r="Q8" s="661">
        <f>M8/G8</f>
        <v>0.00020919183651566583</v>
      </c>
      <c r="R8" s="727" t="s">
        <v>705</v>
      </c>
      <c r="S8" s="579">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49">
        <v>3</v>
      </c>
      <c r="B9" s="1046" t="s">
        <v>64</v>
      </c>
      <c r="C9" s="1008" t="s">
        <v>285</v>
      </c>
      <c r="D9" s="1008" t="s">
        <v>621</v>
      </c>
      <c r="E9" s="1074" t="s">
        <v>75</v>
      </c>
      <c r="F9" s="1027" t="s">
        <v>8</v>
      </c>
      <c r="G9" s="1064">
        <v>400418989.26</v>
      </c>
      <c r="H9" s="1083" t="s">
        <v>525</v>
      </c>
      <c r="I9" s="1109" t="s">
        <v>330</v>
      </c>
      <c r="J9" s="1046" t="s">
        <v>138</v>
      </c>
      <c r="K9" s="1089" t="s">
        <v>316</v>
      </c>
      <c r="L9" s="1112">
        <v>178471075</v>
      </c>
      <c r="M9" s="1112">
        <f>N9</f>
        <v>11053466</v>
      </c>
      <c r="N9" s="487">
        <f>11457379-24513-379400</f>
        <v>11053466</v>
      </c>
      <c r="O9" s="1119"/>
      <c r="P9" s="1084">
        <f>M9/L9</f>
        <v>0.061934215390365074</v>
      </c>
      <c r="Q9" s="1084">
        <f>(M9+M11+M12)/G9</f>
        <v>0.15608232545489645</v>
      </c>
      <c r="R9" s="1114" t="s">
        <v>706</v>
      </c>
      <c r="S9" s="579"/>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50"/>
      <c r="B10" s="1047"/>
      <c r="C10" s="1009"/>
      <c r="D10" s="807"/>
      <c r="E10" s="1075"/>
      <c r="F10" s="1028"/>
      <c r="G10" s="1061"/>
      <c r="H10" s="1067"/>
      <c r="I10" s="1110"/>
      <c r="J10" s="1048"/>
      <c r="K10" s="1090"/>
      <c r="L10" s="1113"/>
      <c r="M10" s="1113"/>
      <c r="N10" s="488" t="s">
        <v>482</v>
      </c>
      <c r="O10" s="1120"/>
      <c r="P10" s="1085"/>
      <c r="Q10" s="1101"/>
      <c r="R10" s="1115"/>
      <c r="S10" s="579">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408.75" customHeight="1">
      <c r="A11" s="1050"/>
      <c r="B11" s="1047"/>
      <c r="C11" s="1009"/>
      <c r="D11" s="807"/>
      <c r="E11" s="1075"/>
      <c r="F11" s="1028"/>
      <c r="G11" s="1061"/>
      <c r="H11" s="1067"/>
      <c r="I11" s="1110"/>
      <c r="J11" s="653" t="s">
        <v>141</v>
      </c>
      <c r="K11" s="1091"/>
      <c r="L11" s="341">
        <v>40518449.97</v>
      </c>
      <c r="M11" s="645">
        <f aca="true" t="shared" si="3" ref="M11:M29">N11+O11</f>
        <v>40518449.97</v>
      </c>
      <c r="N11" s="487">
        <v>40518449.97</v>
      </c>
      <c r="O11" s="489"/>
      <c r="P11" s="651">
        <f t="shared" si="0"/>
        <v>1</v>
      </c>
      <c r="Q11" s="1101"/>
      <c r="R11" s="648" t="s">
        <v>652</v>
      </c>
      <c r="S11" s="579">
        <f t="shared" si="1"/>
        <v>0</v>
      </c>
      <c r="T11" s="5">
        <f t="shared" si="2"/>
        <v>0</v>
      </c>
    </row>
    <row r="12" spans="1:20" s="136" customFormat="1" ht="391.5" customHeight="1">
      <c r="A12" s="1050"/>
      <c r="B12" s="1047"/>
      <c r="C12" s="1009"/>
      <c r="D12" s="807"/>
      <c r="E12" s="1075"/>
      <c r="F12" s="1028"/>
      <c r="G12" s="1061"/>
      <c r="H12" s="1067"/>
      <c r="I12" s="1110"/>
      <c r="J12" s="653" t="s">
        <v>396</v>
      </c>
      <c r="K12" s="662" t="s">
        <v>395</v>
      </c>
      <c r="L12" s="341">
        <v>10926411.03</v>
      </c>
      <c r="M12" s="663">
        <f t="shared" si="3"/>
        <v>10926411.03</v>
      </c>
      <c r="N12" s="393">
        <v>10926411.03</v>
      </c>
      <c r="O12" s="664">
        <f>10926411.03-N12</f>
        <v>0</v>
      </c>
      <c r="P12" s="651">
        <f t="shared" si="0"/>
        <v>1</v>
      </c>
      <c r="Q12" s="1101"/>
      <c r="R12" s="648" t="s">
        <v>653</v>
      </c>
      <c r="S12" s="579">
        <f t="shared" si="1"/>
        <v>0</v>
      </c>
      <c r="T12" s="5">
        <f t="shared" si="2"/>
        <v>0</v>
      </c>
    </row>
    <row r="13" spans="1:89" s="153" customFormat="1" ht="216" customHeight="1">
      <c r="A13" s="1051"/>
      <c r="B13" s="1048"/>
      <c r="C13" s="1010"/>
      <c r="D13" s="782"/>
      <c r="E13" s="1076"/>
      <c r="F13" s="1029"/>
      <c r="G13" s="1062"/>
      <c r="H13" s="1068"/>
      <c r="I13" s="1111"/>
      <c r="J13" s="653" t="s">
        <v>30</v>
      </c>
      <c r="K13" s="653" t="s">
        <v>317</v>
      </c>
      <c r="L13" s="341">
        <v>150000</v>
      </c>
      <c r="M13" s="645">
        <f t="shared" si="3"/>
        <v>150000</v>
      </c>
      <c r="N13" s="487">
        <v>150000</v>
      </c>
      <c r="O13" s="665"/>
      <c r="P13" s="651">
        <f t="shared" si="0"/>
        <v>1</v>
      </c>
      <c r="Q13" s="1085"/>
      <c r="R13" s="648" t="s">
        <v>654</v>
      </c>
      <c r="S13" s="579">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49">
        <v>4</v>
      </c>
      <c r="B14" s="1008" t="s">
        <v>65</v>
      </c>
      <c r="C14" s="1008" t="s">
        <v>168</v>
      </c>
      <c r="D14" s="1008" t="s">
        <v>621</v>
      </c>
      <c r="E14" s="1074" t="s">
        <v>76</v>
      </c>
      <c r="F14" s="1027" t="s">
        <v>8</v>
      </c>
      <c r="G14" s="1064">
        <v>433013258.18</v>
      </c>
      <c r="H14" s="1083" t="s">
        <v>525</v>
      </c>
      <c r="I14" s="890" t="s">
        <v>391</v>
      </c>
      <c r="J14" s="653" t="s">
        <v>138</v>
      </c>
      <c r="K14" s="653" t="s">
        <v>318</v>
      </c>
      <c r="L14" s="341">
        <v>354887803</v>
      </c>
      <c r="M14" s="645">
        <f t="shared" si="3"/>
        <v>88721951</v>
      </c>
      <c r="N14" s="490">
        <v>88721951</v>
      </c>
      <c r="O14" s="650"/>
      <c r="P14" s="651">
        <f t="shared" si="0"/>
        <v>0.250000000704448</v>
      </c>
      <c r="Q14" s="1084">
        <f>(M14+M15)/G14</f>
        <v>0.20558712537848972</v>
      </c>
      <c r="R14" s="648" t="s">
        <v>655</v>
      </c>
      <c r="S14" s="579">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051"/>
      <c r="B15" s="1010"/>
      <c r="C15" s="1010"/>
      <c r="D15" s="782"/>
      <c r="E15" s="1076"/>
      <c r="F15" s="1029"/>
      <c r="G15" s="1062"/>
      <c r="H15" s="1068"/>
      <c r="I15" s="1078"/>
      <c r="J15" s="653" t="s">
        <v>30</v>
      </c>
      <c r="K15" s="653" t="s">
        <v>319</v>
      </c>
      <c r="L15" s="341">
        <v>300000</v>
      </c>
      <c r="M15" s="645">
        <f t="shared" si="3"/>
        <v>300000</v>
      </c>
      <c r="N15" s="491">
        <v>300000</v>
      </c>
      <c r="O15" s="650"/>
      <c r="P15" s="651">
        <f t="shared" si="0"/>
        <v>1</v>
      </c>
      <c r="Q15" s="1085"/>
      <c r="R15" s="648" t="s">
        <v>656</v>
      </c>
      <c r="S15" s="579">
        <f t="shared" si="1"/>
        <v>0</v>
      </c>
      <c r="T15" s="5">
        <f t="shared" si="2"/>
        <v>0</v>
      </c>
    </row>
    <row r="16" spans="1:20" ht="285" customHeight="1">
      <c r="A16" s="1005">
        <v>5</v>
      </c>
      <c r="B16" s="1072" t="s">
        <v>63</v>
      </c>
      <c r="C16" s="1046" t="s">
        <v>215</v>
      </c>
      <c r="D16" s="1046" t="s">
        <v>620</v>
      </c>
      <c r="E16" s="1011" t="s">
        <v>77</v>
      </c>
      <c r="F16" s="1014" t="s">
        <v>8</v>
      </c>
      <c r="G16" s="1017">
        <v>392633824.96</v>
      </c>
      <c r="H16" s="1020" t="s">
        <v>63</v>
      </c>
      <c r="I16" s="1086" t="s">
        <v>367</v>
      </c>
      <c r="J16" s="653" t="s">
        <v>141</v>
      </c>
      <c r="K16" s="653" t="s">
        <v>278</v>
      </c>
      <c r="L16" s="341">
        <v>31074718.09</v>
      </c>
      <c r="M16" s="645">
        <f t="shared" si="3"/>
        <v>31074718.09</v>
      </c>
      <c r="N16" s="491">
        <v>31074718.09</v>
      </c>
      <c r="O16" s="650"/>
      <c r="P16" s="651">
        <f t="shared" si="0"/>
        <v>1</v>
      </c>
      <c r="Q16" s="661">
        <f>M16/G16</f>
        <v>0.07914427162042337</v>
      </c>
      <c r="R16" s="727" t="s">
        <v>710</v>
      </c>
      <c r="S16" s="579">
        <f t="shared" si="1"/>
        <v>0</v>
      </c>
      <c r="T16" s="5">
        <f t="shared" si="2"/>
        <v>0</v>
      </c>
    </row>
    <row r="17" spans="1:20" ht="147" customHeight="1">
      <c r="A17" s="1006"/>
      <c r="B17" s="1077"/>
      <c r="C17" s="1047"/>
      <c r="D17" s="826"/>
      <c r="E17" s="1012"/>
      <c r="F17" s="1015"/>
      <c r="G17" s="1018"/>
      <c r="H17" s="1021"/>
      <c r="I17" s="1087"/>
      <c r="J17" s="653" t="s">
        <v>474</v>
      </c>
      <c r="K17" s="653" t="s">
        <v>475</v>
      </c>
      <c r="L17" s="341">
        <f>134201.25*0.85</f>
        <v>114071.0625</v>
      </c>
      <c r="M17" s="645">
        <f>N17+O17</f>
        <v>114071.0625</v>
      </c>
      <c r="N17" s="491">
        <v>0</v>
      </c>
      <c r="O17" s="650">
        <f>134201.25*0.85</f>
        <v>114071.0625</v>
      </c>
      <c r="P17" s="651">
        <f t="shared" si="0"/>
        <v>1</v>
      </c>
      <c r="Q17" s="661">
        <f>M17/G16</f>
        <v>0.0002905278538129544</v>
      </c>
      <c r="R17" s="648" t="s">
        <v>657</v>
      </c>
      <c r="S17" s="579"/>
      <c r="T17" s="5"/>
    </row>
    <row r="18" spans="1:20" ht="284.25" customHeight="1">
      <c r="A18" s="1007"/>
      <c r="B18" s="1073"/>
      <c r="C18" s="1048"/>
      <c r="D18" s="777"/>
      <c r="E18" s="1013"/>
      <c r="F18" s="1016"/>
      <c r="G18" s="1019"/>
      <c r="H18" s="1022"/>
      <c r="I18" s="1088"/>
      <c r="J18" s="653" t="s">
        <v>474</v>
      </c>
      <c r="K18" s="653" t="s">
        <v>636</v>
      </c>
      <c r="L18" s="341">
        <f>361507.25*0.85</f>
        <v>307281.1625</v>
      </c>
      <c r="M18" s="645">
        <f>N18+O18</f>
        <v>307281.1625</v>
      </c>
      <c r="N18" s="491">
        <v>0</v>
      </c>
      <c r="O18" s="650">
        <f>361507.25*0.85</f>
        <v>307281.1625</v>
      </c>
      <c r="P18" s="651">
        <f t="shared" si="0"/>
        <v>1</v>
      </c>
      <c r="Q18" s="661">
        <f>M18/G16</f>
        <v>0.0007826151058974723</v>
      </c>
      <c r="R18" s="648" t="s">
        <v>658</v>
      </c>
      <c r="S18" s="579"/>
      <c r="T18" s="5"/>
    </row>
    <row r="19" spans="1:20" ht="282.75" customHeight="1">
      <c r="A19" s="1005">
        <v>6</v>
      </c>
      <c r="B19" s="1072" t="s">
        <v>63</v>
      </c>
      <c r="C19" s="1046" t="s">
        <v>169</v>
      </c>
      <c r="D19" s="1046" t="s">
        <v>620</v>
      </c>
      <c r="E19" s="1011" t="s">
        <v>78</v>
      </c>
      <c r="F19" s="1014" t="s">
        <v>8</v>
      </c>
      <c r="G19" s="1017">
        <v>77931313.94</v>
      </c>
      <c r="H19" s="1020" t="s">
        <v>63</v>
      </c>
      <c r="I19" s="1086" t="s">
        <v>367</v>
      </c>
      <c r="J19" s="653" t="s">
        <v>141</v>
      </c>
      <c r="K19" s="653" t="s">
        <v>320</v>
      </c>
      <c r="L19" s="341">
        <f>19504849.28+97231.82</f>
        <v>19602081.1</v>
      </c>
      <c r="M19" s="645">
        <f t="shared" si="3"/>
        <v>16260597.42</v>
      </c>
      <c r="N19" s="491">
        <v>16260597.42</v>
      </c>
      <c r="O19" s="666"/>
      <c r="P19" s="651">
        <f t="shared" si="0"/>
        <v>0.8295342385865345</v>
      </c>
      <c r="Q19" s="661">
        <f>M19/G19</f>
        <v>0.2086529354877704</v>
      </c>
      <c r="R19" s="727" t="s">
        <v>707</v>
      </c>
      <c r="S19" s="579">
        <f t="shared" si="1"/>
        <v>0.1704657614134655</v>
      </c>
      <c r="T19" s="5">
        <f t="shared" si="2"/>
        <v>3341483.6800000016</v>
      </c>
    </row>
    <row r="20" spans="1:20" ht="179.25" customHeight="1">
      <c r="A20" s="1007"/>
      <c r="B20" s="1073"/>
      <c r="C20" s="1048"/>
      <c r="D20" s="777"/>
      <c r="E20" s="1013"/>
      <c r="F20" s="1016"/>
      <c r="G20" s="1019"/>
      <c r="H20" s="1022"/>
      <c r="I20" s="1088"/>
      <c r="J20" s="653" t="s">
        <v>474</v>
      </c>
      <c r="K20" s="653" t="s">
        <v>483</v>
      </c>
      <c r="L20" s="341">
        <v>44293.75</v>
      </c>
      <c r="M20" s="645">
        <f>N20+O20</f>
        <v>37649.68</v>
      </c>
      <c r="N20" s="491">
        <v>0</v>
      </c>
      <c r="O20" s="650">
        <v>37649.68</v>
      </c>
      <c r="P20" s="651">
        <f t="shared" si="0"/>
        <v>0.8499998306758855</v>
      </c>
      <c r="Q20" s="661">
        <f>M20/G19</f>
        <v>0.0004831136304077565</v>
      </c>
      <c r="R20" s="648" t="s">
        <v>659</v>
      </c>
      <c r="S20" s="579"/>
      <c r="T20" s="5"/>
    </row>
    <row r="21" spans="1:20" ht="263.25" customHeight="1">
      <c r="A21" s="1005">
        <v>7</v>
      </c>
      <c r="B21" s="1072" t="s">
        <v>63</v>
      </c>
      <c r="C21" s="1046" t="s">
        <v>170</v>
      </c>
      <c r="D21" s="1046" t="s">
        <v>620</v>
      </c>
      <c r="E21" s="1011" t="s">
        <v>78</v>
      </c>
      <c r="F21" s="1014" t="s">
        <v>8</v>
      </c>
      <c r="G21" s="1017">
        <v>429420137.85</v>
      </c>
      <c r="H21" s="1020" t="s">
        <v>63</v>
      </c>
      <c r="I21" s="1086" t="s">
        <v>367</v>
      </c>
      <c r="J21" s="653" t="s">
        <v>141</v>
      </c>
      <c r="K21" s="653" t="s">
        <v>279</v>
      </c>
      <c r="L21" s="341">
        <v>36122816.01</v>
      </c>
      <c r="M21" s="645">
        <f t="shared" si="3"/>
        <v>36122816.01</v>
      </c>
      <c r="N21" s="491">
        <v>36122816.01</v>
      </c>
      <c r="O21" s="650"/>
      <c r="P21" s="651">
        <f t="shared" si="0"/>
        <v>1</v>
      </c>
      <c r="Q21" s="661">
        <f>M21/G21</f>
        <v>0.08411998606040687</v>
      </c>
      <c r="R21" s="727" t="s">
        <v>708</v>
      </c>
      <c r="S21" s="579">
        <f t="shared" si="1"/>
        <v>0</v>
      </c>
      <c r="T21" s="5">
        <f t="shared" si="2"/>
        <v>0</v>
      </c>
    </row>
    <row r="22" spans="1:20" ht="154.5" customHeight="1">
      <c r="A22" s="1007"/>
      <c r="B22" s="1073"/>
      <c r="C22" s="1048"/>
      <c r="D22" s="777"/>
      <c r="E22" s="1013"/>
      <c r="F22" s="1016"/>
      <c r="G22" s="1019"/>
      <c r="H22" s="1022"/>
      <c r="I22" s="1088"/>
      <c r="J22" s="653" t="s">
        <v>474</v>
      </c>
      <c r="K22" s="653" t="s">
        <v>479</v>
      </c>
      <c r="L22" s="341">
        <v>397500</v>
      </c>
      <c r="M22" s="645">
        <f>N22+O22</f>
        <v>337874.99</v>
      </c>
      <c r="N22" s="491">
        <v>0</v>
      </c>
      <c r="O22" s="650">
        <v>337874.99</v>
      </c>
      <c r="P22" s="651">
        <f>M22/L22</f>
        <v>0.8499999748427672</v>
      </c>
      <c r="Q22" s="661">
        <f>M22/G21</f>
        <v>0.0007868168262710178</v>
      </c>
      <c r="R22" s="648" t="s">
        <v>660</v>
      </c>
      <c r="S22" s="579"/>
      <c r="T22" s="5"/>
    </row>
    <row r="23" spans="1:20" ht="184.5" customHeight="1">
      <c r="A23" s="1049">
        <v>8</v>
      </c>
      <c r="B23" s="1008" t="s">
        <v>66</v>
      </c>
      <c r="C23" s="1008" t="s">
        <v>67</v>
      </c>
      <c r="D23" s="1008" t="s">
        <v>621</v>
      </c>
      <c r="E23" s="1025" t="s">
        <v>214</v>
      </c>
      <c r="F23" s="1027" t="s">
        <v>68</v>
      </c>
      <c r="G23" s="821">
        <v>7850000</v>
      </c>
      <c r="H23" s="1030" t="s">
        <v>526</v>
      </c>
      <c r="I23" s="890" t="s">
        <v>163</v>
      </c>
      <c r="J23" s="653" t="s">
        <v>142</v>
      </c>
      <c r="K23" s="653" t="s">
        <v>457</v>
      </c>
      <c r="L23" s="341">
        <v>1851077.37</v>
      </c>
      <c r="M23" s="645">
        <f t="shared" si="3"/>
        <v>3316481.86</v>
      </c>
      <c r="N23" s="667">
        <v>0</v>
      </c>
      <c r="O23" s="523">
        <v>3316481.86</v>
      </c>
      <c r="P23" s="651">
        <f t="shared" si="0"/>
        <v>1.7916495084157393</v>
      </c>
      <c r="Q23" s="1084">
        <f>(M23+M24)/G23</f>
        <v>0.4288511923566879</v>
      </c>
      <c r="R23" s="648" t="s">
        <v>661</v>
      </c>
      <c r="S23" s="579">
        <f t="shared" si="1"/>
        <v>-0.7916495084157393</v>
      </c>
      <c r="T23" s="5">
        <f t="shared" si="2"/>
        <v>-1465404.4899999998</v>
      </c>
    </row>
    <row r="24" spans="1:20" ht="80.25" customHeight="1">
      <c r="A24" s="1051"/>
      <c r="B24" s="1010"/>
      <c r="C24" s="1010"/>
      <c r="D24" s="782"/>
      <c r="E24" s="1026"/>
      <c r="F24" s="1029"/>
      <c r="G24" s="1082"/>
      <c r="H24" s="1032"/>
      <c r="I24" s="1078"/>
      <c r="J24" s="668" t="s">
        <v>151</v>
      </c>
      <c r="K24" s="653" t="s">
        <v>290</v>
      </c>
      <c r="L24" s="341">
        <v>50000</v>
      </c>
      <c r="M24" s="645">
        <f t="shared" si="3"/>
        <v>50000</v>
      </c>
      <c r="N24" s="491">
        <v>50000</v>
      </c>
      <c r="O24" s="650"/>
      <c r="P24" s="651">
        <f t="shared" si="0"/>
        <v>1</v>
      </c>
      <c r="Q24" s="1085"/>
      <c r="R24" s="648" t="s">
        <v>662</v>
      </c>
      <c r="S24" s="579">
        <f t="shared" si="1"/>
        <v>0</v>
      </c>
      <c r="T24" s="5">
        <f t="shared" si="2"/>
        <v>0</v>
      </c>
    </row>
    <row r="25" spans="1:20" ht="214.5" customHeight="1">
      <c r="A25" s="1049">
        <v>9</v>
      </c>
      <c r="B25" s="1008" t="s">
        <v>122</v>
      </c>
      <c r="C25" s="1023" t="s">
        <v>171</v>
      </c>
      <c r="D25" s="1023" t="s">
        <v>627</v>
      </c>
      <c r="E25" s="1074" t="s">
        <v>121</v>
      </c>
      <c r="F25" s="1027" t="s">
        <v>8</v>
      </c>
      <c r="G25" s="1064">
        <v>120250460.58</v>
      </c>
      <c r="H25" s="1083" t="s">
        <v>122</v>
      </c>
      <c r="I25" s="890" t="s">
        <v>331</v>
      </c>
      <c r="J25" s="653" t="s">
        <v>141</v>
      </c>
      <c r="K25" s="213" t="s">
        <v>321</v>
      </c>
      <c r="L25" s="341">
        <v>8920521.79</v>
      </c>
      <c r="M25" s="645">
        <f t="shared" si="3"/>
        <v>8920521.79</v>
      </c>
      <c r="N25" s="487">
        <v>8920521.79</v>
      </c>
      <c r="O25" s="650"/>
      <c r="P25" s="651">
        <f t="shared" si="0"/>
        <v>1</v>
      </c>
      <c r="Q25" s="1084">
        <f>(M25+M26+M27+M28)/G25</f>
        <v>0.10790177540623937</v>
      </c>
      <c r="R25" s="648" t="s">
        <v>663</v>
      </c>
      <c r="S25" s="579">
        <f t="shared" si="1"/>
        <v>0</v>
      </c>
      <c r="T25" s="5">
        <f t="shared" si="2"/>
        <v>0</v>
      </c>
    </row>
    <row r="26" spans="1:20" ht="320.25" customHeight="1">
      <c r="A26" s="1050"/>
      <c r="B26" s="1009"/>
      <c r="C26" s="1036"/>
      <c r="D26" s="807"/>
      <c r="E26" s="1075"/>
      <c r="F26" s="1028"/>
      <c r="G26" s="1061"/>
      <c r="H26" s="1067"/>
      <c r="I26" s="1107"/>
      <c r="J26" s="653" t="s">
        <v>138</v>
      </c>
      <c r="K26" s="653" t="s">
        <v>332</v>
      </c>
      <c r="L26" s="654">
        <v>7905397.84</v>
      </c>
      <c r="M26" s="645">
        <f t="shared" si="3"/>
        <v>3914716.4</v>
      </c>
      <c r="N26" s="499">
        <v>3914716.4</v>
      </c>
      <c r="O26" s="650"/>
      <c r="P26" s="651">
        <f t="shared" si="0"/>
        <v>0.49519536894047067</v>
      </c>
      <c r="Q26" s="1101"/>
      <c r="R26" s="648" t="s">
        <v>664</v>
      </c>
      <c r="S26" s="579">
        <f t="shared" si="1"/>
        <v>0.5048046310595293</v>
      </c>
      <c r="T26" s="5">
        <f t="shared" si="2"/>
        <v>3990681.44</v>
      </c>
    </row>
    <row r="27" spans="1:20" ht="69.75" customHeight="1">
      <c r="A27" s="1050"/>
      <c r="B27" s="1009"/>
      <c r="C27" s="1036"/>
      <c r="D27" s="807"/>
      <c r="E27" s="1075"/>
      <c r="F27" s="1028"/>
      <c r="G27" s="1061"/>
      <c r="H27" s="1067"/>
      <c r="I27" s="1107"/>
      <c r="J27" s="668" t="s">
        <v>151</v>
      </c>
      <c r="K27" s="653" t="s">
        <v>322</v>
      </c>
      <c r="L27" s="654">
        <v>100000</v>
      </c>
      <c r="M27" s="645">
        <f t="shared" si="3"/>
        <v>100000</v>
      </c>
      <c r="N27" s="487">
        <v>100000</v>
      </c>
      <c r="O27" s="650"/>
      <c r="P27" s="651">
        <f t="shared" si="0"/>
        <v>1</v>
      </c>
      <c r="Q27" s="1101"/>
      <c r="R27" s="648" t="s">
        <v>665</v>
      </c>
      <c r="S27" s="579">
        <f t="shared" si="1"/>
        <v>0</v>
      </c>
      <c r="T27" s="5">
        <f t="shared" si="2"/>
        <v>0</v>
      </c>
    </row>
    <row r="28" spans="1:20" ht="60" customHeight="1">
      <c r="A28" s="1051"/>
      <c r="B28" s="1010"/>
      <c r="C28" s="1024"/>
      <c r="D28" s="782"/>
      <c r="E28" s="1076"/>
      <c r="F28" s="1029"/>
      <c r="G28" s="1062"/>
      <c r="H28" s="1068"/>
      <c r="I28" s="1078"/>
      <c r="J28" s="668" t="s">
        <v>151</v>
      </c>
      <c r="K28" s="653" t="s">
        <v>291</v>
      </c>
      <c r="L28" s="654">
        <v>40000</v>
      </c>
      <c r="M28" s="645">
        <f t="shared" si="3"/>
        <v>40000</v>
      </c>
      <c r="N28" s="487">
        <v>40000</v>
      </c>
      <c r="O28" s="650"/>
      <c r="P28" s="651">
        <f t="shared" si="0"/>
        <v>1</v>
      </c>
      <c r="Q28" s="1085"/>
      <c r="R28" s="648" t="s">
        <v>666</v>
      </c>
      <c r="S28" s="579">
        <f t="shared" si="1"/>
        <v>0</v>
      </c>
      <c r="T28" s="5">
        <f t="shared" si="2"/>
        <v>0</v>
      </c>
    </row>
    <row r="29" spans="1:20" ht="409.5" customHeight="1">
      <c r="A29" s="1049">
        <v>10</v>
      </c>
      <c r="B29" s="1008" t="s">
        <v>69</v>
      </c>
      <c r="C29" s="1008" t="s">
        <v>357</v>
      </c>
      <c r="D29" s="1008" t="s">
        <v>619</v>
      </c>
      <c r="E29" s="1025" t="s">
        <v>79</v>
      </c>
      <c r="F29" s="1027" t="s">
        <v>8</v>
      </c>
      <c r="G29" s="821">
        <v>13225586.65</v>
      </c>
      <c r="H29" s="1030" t="s">
        <v>69</v>
      </c>
      <c r="I29" s="890" t="s">
        <v>368</v>
      </c>
      <c r="J29" s="653" t="s">
        <v>141</v>
      </c>
      <c r="K29" s="653" t="s">
        <v>378</v>
      </c>
      <c r="L29" s="238">
        <v>2359075.47</v>
      </c>
      <c r="M29" s="645">
        <f t="shared" si="3"/>
        <v>2359075.47</v>
      </c>
      <c r="N29" s="487">
        <v>2359075.47</v>
      </c>
      <c r="O29" s="239"/>
      <c r="P29" s="651">
        <f t="shared" si="0"/>
        <v>1</v>
      </c>
      <c r="Q29" s="1084">
        <f>(M29)/G29</f>
        <v>0.17837208529422777</v>
      </c>
      <c r="R29" s="648" t="s">
        <v>667</v>
      </c>
      <c r="S29" s="579">
        <f t="shared" si="1"/>
        <v>0</v>
      </c>
      <c r="T29" s="5">
        <f t="shared" si="2"/>
        <v>0</v>
      </c>
    </row>
    <row r="30" spans="1:20" ht="380.25" customHeight="1">
      <c r="A30" s="1051"/>
      <c r="B30" s="1010"/>
      <c r="C30" s="1010"/>
      <c r="D30" s="782"/>
      <c r="E30" s="1026"/>
      <c r="F30" s="1029"/>
      <c r="G30" s="1082"/>
      <c r="H30" s="1032"/>
      <c r="I30" s="1078"/>
      <c r="J30" s="653" t="s">
        <v>30</v>
      </c>
      <c r="K30" s="653" t="s">
        <v>527</v>
      </c>
      <c r="L30" s="341">
        <v>0</v>
      </c>
      <c r="M30" s="341">
        <v>0</v>
      </c>
      <c r="N30" s="669">
        <v>0</v>
      </c>
      <c r="O30" s="492">
        <v>0</v>
      </c>
      <c r="P30" s="651" t="s">
        <v>210</v>
      </c>
      <c r="Q30" s="1085"/>
      <c r="R30" s="648" t="s">
        <v>668</v>
      </c>
      <c r="S30" s="579" t="e">
        <f t="shared" si="1"/>
        <v>#DIV/0!</v>
      </c>
      <c r="T30" s="5">
        <f t="shared" si="2"/>
        <v>0</v>
      </c>
    </row>
    <row r="31" spans="1:20" ht="207.75" customHeight="1">
      <c r="A31" s="1049">
        <v>11</v>
      </c>
      <c r="B31" s="1046" t="s">
        <v>70</v>
      </c>
      <c r="C31" s="1046" t="s">
        <v>172</v>
      </c>
      <c r="D31" s="1046" t="s">
        <v>621</v>
      </c>
      <c r="E31" s="1011" t="s">
        <v>80</v>
      </c>
      <c r="F31" s="1014" t="s">
        <v>8</v>
      </c>
      <c r="G31" s="1017">
        <v>49829552.14</v>
      </c>
      <c r="H31" s="1020" t="s">
        <v>525</v>
      </c>
      <c r="I31" s="1086" t="s">
        <v>275</v>
      </c>
      <c r="J31" s="653" t="s">
        <v>141</v>
      </c>
      <c r="K31" s="653" t="s">
        <v>379</v>
      </c>
      <c r="L31" s="238">
        <f>9646134.9+203643</f>
        <v>9849777.9</v>
      </c>
      <c r="M31" s="670">
        <f>N31+O31</f>
        <v>2351606.379</v>
      </c>
      <c r="N31" s="500">
        <f>2766595.74*0.85</f>
        <v>2351606.379</v>
      </c>
      <c r="O31" s="493"/>
      <c r="P31" s="651">
        <f t="shared" si="0"/>
        <v>0.2387471476894926</v>
      </c>
      <c r="Q31" s="1084">
        <f>M31/G31</f>
        <v>0.04719300651936383</v>
      </c>
      <c r="R31" s="648" t="s">
        <v>669</v>
      </c>
      <c r="S31" s="579">
        <f t="shared" si="1"/>
        <v>0.7612528523105073</v>
      </c>
      <c r="T31" s="5">
        <f t="shared" si="2"/>
        <v>7498171.521</v>
      </c>
    </row>
    <row r="32" spans="1:20" ht="124.5" customHeight="1">
      <c r="A32" s="1050"/>
      <c r="B32" s="1047"/>
      <c r="C32" s="1047"/>
      <c r="D32" s="826"/>
      <c r="E32" s="1012"/>
      <c r="F32" s="1015"/>
      <c r="G32" s="1018"/>
      <c r="H32" s="1021"/>
      <c r="I32" s="1087"/>
      <c r="J32" s="653" t="s">
        <v>30</v>
      </c>
      <c r="K32" s="653" t="s">
        <v>333</v>
      </c>
      <c r="L32" s="341">
        <v>1000</v>
      </c>
      <c r="M32" s="341">
        <v>1000</v>
      </c>
      <c r="N32" s="634">
        <v>1000</v>
      </c>
      <c r="O32" s="492">
        <v>0</v>
      </c>
      <c r="P32" s="651" t="s">
        <v>210</v>
      </c>
      <c r="Q32" s="1085"/>
      <c r="R32" s="648" t="s">
        <v>670</v>
      </c>
      <c r="S32" s="579">
        <f t="shared" si="1"/>
        <v>0</v>
      </c>
      <c r="T32" s="5">
        <f t="shared" si="2"/>
        <v>0</v>
      </c>
    </row>
    <row r="33" spans="1:20" ht="210" customHeight="1">
      <c r="A33" s="1051"/>
      <c r="B33" s="1048"/>
      <c r="C33" s="1048"/>
      <c r="D33" s="777"/>
      <c r="E33" s="1013"/>
      <c r="F33" s="1016"/>
      <c r="G33" s="1019"/>
      <c r="H33" s="1022"/>
      <c r="I33" s="1088"/>
      <c r="J33" s="653" t="s">
        <v>474</v>
      </c>
      <c r="K33" s="653" t="s">
        <v>485</v>
      </c>
      <c r="L33" s="341">
        <f>7969147.37*0.85</f>
        <v>6773775.2645</v>
      </c>
      <c r="M33" s="645">
        <f>N33+O33</f>
        <v>7605521.89</v>
      </c>
      <c r="N33" s="490">
        <v>7605521.89</v>
      </c>
      <c r="O33" s="650">
        <v>0</v>
      </c>
      <c r="P33" s="651">
        <f t="shared" si="0"/>
        <v>1.1227892265424007</v>
      </c>
      <c r="Q33" s="661">
        <f>M33/G31</f>
        <v>0.15263074949242358</v>
      </c>
      <c r="R33" s="648" t="s">
        <v>671</v>
      </c>
      <c r="S33" s="579"/>
      <c r="T33" s="5"/>
    </row>
    <row r="34" spans="1:20" ht="195" customHeight="1">
      <c r="A34" s="671">
        <v>12</v>
      </c>
      <c r="B34" s="672" t="s">
        <v>81</v>
      </c>
      <c r="C34" s="652" t="s">
        <v>287</v>
      </c>
      <c r="D34" s="652" t="s">
        <v>619</v>
      </c>
      <c r="E34" s="317" t="s">
        <v>335</v>
      </c>
      <c r="F34" s="658" t="s">
        <v>8</v>
      </c>
      <c r="G34" s="353">
        <v>26500000</v>
      </c>
      <c r="H34" s="569" t="s">
        <v>528</v>
      </c>
      <c r="I34" s="562" t="s">
        <v>167</v>
      </c>
      <c r="J34" s="653" t="s">
        <v>334</v>
      </c>
      <c r="K34" s="653" t="s">
        <v>292</v>
      </c>
      <c r="L34" s="649">
        <v>538872.96</v>
      </c>
      <c r="M34" s="645">
        <f>N34+O34</f>
        <v>538872.96</v>
      </c>
      <c r="N34" s="487">
        <v>538872.96</v>
      </c>
      <c r="O34" s="660"/>
      <c r="P34" s="651">
        <f t="shared" si="0"/>
        <v>1</v>
      </c>
      <c r="Q34" s="661">
        <f>M34/G34</f>
        <v>0.02033482867924528</v>
      </c>
      <c r="R34" s="648" t="s">
        <v>672</v>
      </c>
      <c r="S34" s="579">
        <f t="shared" si="1"/>
        <v>0</v>
      </c>
      <c r="T34" s="5">
        <f t="shared" si="2"/>
        <v>0</v>
      </c>
    </row>
    <row r="35" spans="1:20" ht="248.25" customHeight="1">
      <c r="A35" s="1033">
        <v>13</v>
      </c>
      <c r="B35" s="1023" t="s">
        <v>63</v>
      </c>
      <c r="C35" s="1023" t="s">
        <v>611</v>
      </c>
      <c r="D35" s="1023" t="s">
        <v>620</v>
      </c>
      <c r="E35" s="1008" t="s">
        <v>134</v>
      </c>
      <c r="F35" s="1065" t="s">
        <v>8</v>
      </c>
      <c r="G35" s="821">
        <v>75842841.9</v>
      </c>
      <c r="H35" s="1020" t="s">
        <v>63</v>
      </c>
      <c r="I35" s="808" t="s">
        <v>365</v>
      </c>
      <c r="J35" s="668" t="s">
        <v>141</v>
      </c>
      <c r="K35" s="653" t="s">
        <v>323</v>
      </c>
      <c r="L35" s="649">
        <v>101050.13</v>
      </c>
      <c r="M35" s="670">
        <f>N35+O35</f>
        <v>6582.4</v>
      </c>
      <c r="N35" s="640">
        <v>6582.4</v>
      </c>
      <c r="O35" s="673">
        <v>0</v>
      </c>
      <c r="P35" s="651">
        <f t="shared" si="0"/>
        <v>0.06513994588626457</v>
      </c>
      <c r="Q35" s="1084">
        <f>(M35+M36)/G35</f>
        <v>0.0035049051873674584</v>
      </c>
      <c r="R35" s="727" t="s">
        <v>709</v>
      </c>
      <c r="S35" s="579">
        <f t="shared" si="1"/>
        <v>0.9348600541137355</v>
      </c>
      <c r="T35" s="5">
        <f t="shared" si="2"/>
        <v>94467.73000000001</v>
      </c>
    </row>
    <row r="36" spans="1:20" ht="144.75" customHeight="1">
      <c r="A36" s="1035"/>
      <c r="B36" s="1024"/>
      <c r="C36" s="1024"/>
      <c r="D36" s="782"/>
      <c r="E36" s="1010"/>
      <c r="F36" s="1058"/>
      <c r="G36" s="1082"/>
      <c r="H36" s="1022"/>
      <c r="I36" s="831"/>
      <c r="J36" s="668" t="s">
        <v>385</v>
      </c>
      <c r="K36" s="653" t="s">
        <v>486</v>
      </c>
      <c r="L36" s="649">
        <v>259239.57</v>
      </c>
      <c r="M36" s="674">
        <v>259239.57</v>
      </c>
      <c r="N36" s="500">
        <v>0</v>
      </c>
      <c r="O36" s="660">
        <v>259239.57</v>
      </c>
      <c r="P36" s="651">
        <f t="shared" si="0"/>
        <v>1</v>
      </c>
      <c r="Q36" s="1085"/>
      <c r="R36" s="648" t="s">
        <v>673</v>
      </c>
      <c r="S36" s="579"/>
      <c r="T36" s="5"/>
    </row>
    <row r="37" spans="1:20" ht="247.5" customHeight="1">
      <c r="A37" s="1033">
        <v>14</v>
      </c>
      <c r="B37" s="1023" t="s">
        <v>63</v>
      </c>
      <c r="C37" s="1023" t="s">
        <v>173</v>
      </c>
      <c r="D37" s="1023" t="s">
        <v>620</v>
      </c>
      <c r="E37" s="1008" t="s">
        <v>82</v>
      </c>
      <c r="F37" s="1027" t="s">
        <v>8</v>
      </c>
      <c r="G37" s="821">
        <v>114675654.39</v>
      </c>
      <c r="H37" s="1020" t="s">
        <v>63</v>
      </c>
      <c r="I37" s="808" t="s">
        <v>367</v>
      </c>
      <c r="J37" s="653" t="s">
        <v>141</v>
      </c>
      <c r="K37" s="653" t="s">
        <v>382</v>
      </c>
      <c r="L37" s="649">
        <v>3378744.56</v>
      </c>
      <c r="M37" s="645">
        <v>872179.28</v>
      </c>
      <c r="N37" s="487">
        <v>872179.28</v>
      </c>
      <c r="O37" s="660"/>
      <c r="P37" s="651">
        <f>M37/L37</f>
        <v>0.25813708746304276</v>
      </c>
      <c r="Q37" s="1084">
        <f>(M37:M39)/G37</f>
        <v>0.0076056185128345445</v>
      </c>
      <c r="R37" s="728" t="s">
        <v>712</v>
      </c>
      <c r="S37" s="579">
        <f t="shared" si="1"/>
        <v>0.7418629125369572</v>
      </c>
      <c r="T37" s="5">
        <f t="shared" si="2"/>
        <v>2506565.2800000003</v>
      </c>
    </row>
    <row r="38" spans="1:20" ht="60.75" customHeight="1">
      <c r="A38" s="1034"/>
      <c r="B38" s="1036"/>
      <c r="C38" s="1036"/>
      <c r="D38" s="807"/>
      <c r="E38" s="1009"/>
      <c r="F38" s="1028"/>
      <c r="G38" s="904"/>
      <c r="H38" s="1021"/>
      <c r="I38" s="895"/>
      <c r="J38" s="653" t="s">
        <v>151</v>
      </c>
      <c r="K38" s="653" t="s">
        <v>377</v>
      </c>
      <c r="L38" s="649">
        <v>0</v>
      </c>
      <c r="M38" s="645">
        <v>0</v>
      </c>
      <c r="N38" s="479">
        <v>0</v>
      </c>
      <c r="O38" s="660">
        <v>0</v>
      </c>
      <c r="P38" s="651">
        <v>0</v>
      </c>
      <c r="Q38" s="1101"/>
      <c r="R38" s="648" t="s">
        <v>674</v>
      </c>
      <c r="S38" s="579" t="e">
        <f t="shared" si="1"/>
        <v>#DIV/0!</v>
      </c>
      <c r="T38" s="5">
        <f t="shared" si="2"/>
        <v>0</v>
      </c>
    </row>
    <row r="39" spans="1:20" ht="150.75" customHeight="1">
      <c r="A39" s="1035"/>
      <c r="B39" s="1024"/>
      <c r="C39" s="1024"/>
      <c r="D39" s="782"/>
      <c r="E39" s="1010"/>
      <c r="F39" s="1029"/>
      <c r="G39" s="1082"/>
      <c r="H39" s="1022"/>
      <c r="I39" s="831"/>
      <c r="J39" s="653" t="s">
        <v>385</v>
      </c>
      <c r="K39" s="653" t="s">
        <v>486</v>
      </c>
      <c r="L39" s="675">
        <v>225882.28</v>
      </c>
      <c r="M39" s="645">
        <f>N39+O39</f>
        <v>186679.77</v>
      </c>
      <c r="N39" s="479">
        <v>0</v>
      </c>
      <c r="O39" s="660">
        <v>186679.77</v>
      </c>
      <c r="P39" s="651">
        <v>0</v>
      </c>
      <c r="Q39" s="1085"/>
      <c r="R39" s="648" t="s">
        <v>675</v>
      </c>
      <c r="S39" s="579">
        <f t="shared" si="1"/>
        <v>0.17355283468893623</v>
      </c>
      <c r="T39" s="5">
        <f t="shared" si="2"/>
        <v>39202.51000000001</v>
      </c>
    </row>
    <row r="40" spans="1:20" ht="306" customHeight="1">
      <c r="A40" s="1033">
        <v>15</v>
      </c>
      <c r="B40" s="1023" t="s">
        <v>63</v>
      </c>
      <c r="C40" s="1023" t="s">
        <v>366</v>
      </c>
      <c r="D40" s="1023" t="s">
        <v>620</v>
      </c>
      <c r="E40" s="1008" t="s">
        <v>82</v>
      </c>
      <c r="F40" s="1027" t="s">
        <v>8</v>
      </c>
      <c r="G40" s="821">
        <v>97211812.73</v>
      </c>
      <c r="H40" s="1020" t="s">
        <v>63</v>
      </c>
      <c r="I40" s="808" t="s">
        <v>367</v>
      </c>
      <c r="J40" s="653" t="s">
        <v>141</v>
      </c>
      <c r="K40" s="653" t="s">
        <v>383</v>
      </c>
      <c r="L40" s="238">
        <v>1372882.5</v>
      </c>
      <c r="M40" s="494">
        <f>N40+O40</f>
        <v>682903.82</v>
      </c>
      <c r="N40" s="485">
        <v>682903.82</v>
      </c>
      <c r="O40" s="239"/>
      <c r="P40" s="495">
        <f t="shared" si="0"/>
        <v>0.49742335560399376</v>
      </c>
      <c r="Q40" s="1126">
        <f>(M40+M41)/G40</f>
        <v>0.014754757469483513</v>
      </c>
      <c r="R40" s="580" t="s">
        <v>711</v>
      </c>
      <c r="S40" s="579">
        <f t="shared" si="1"/>
        <v>0.5025766443960062</v>
      </c>
      <c r="T40" s="5">
        <f t="shared" si="2"/>
        <v>689978.68</v>
      </c>
    </row>
    <row r="41" spans="1:20" ht="125.25" customHeight="1">
      <c r="A41" s="1035"/>
      <c r="B41" s="1024"/>
      <c r="C41" s="1024"/>
      <c r="D41" s="782"/>
      <c r="E41" s="1010"/>
      <c r="F41" s="1029"/>
      <c r="G41" s="1082"/>
      <c r="H41" s="1022"/>
      <c r="I41" s="831"/>
      <c r="J41" s="668" t="s">
        <v>385</v>
      </c>
      <c r="K41" s="653" t="s">
        <v>371</v>
      </c>
      <c r="L41" s="238">
        <v>910378.05</v>
      </c>
      <c r="M41" s="494">
        <f>N41+O41</f>
        <v>751432.9</v>
      </c>
      <c r="N41" s="479">
        <v>0</v>
      </c>
      <c r="O41" s="493">
        <v>751432.9</v>
      </c>
      <c r="P41" s="495">
        <v>1</v>
      </c>
      <c r="Q41" s="1127"/>
      <c r="R41" s="580" t="s">
        <v>676</v>
      </c>
      <c r="S41" s="579">
        <f t="shared" si="1"/>
        <v>0.17459246738209475</v>
      </c>
      <c r="T41" s="5">
        <f t="shared" si="2"/>
        <v>158945.15000000002</v>
      </c>
    </row>
    <row r="42" spans="1:20" ht="105" customHeight="1">
      <c r="A42" s="1033">
        <v>16</v>
      </c>
      <c r="B42" s="1037" t="s">
        <v>122</v>
      </c>
      <c r="C42" s="1008" t="s">
        <v>174</v>
      </c>
      <c r="D42" s="1008" t="s">
        <v>627</v>
      </c>
      <c r="E42" s="1079" t="s">
        <v>147</v>
      </c>
      <c r="F42" s="1027" t="s">
        <v>8</v>
      </c>
      <c r="G42" s="821">
        <v>126000000</v>
      </c>
      <c r="H42" s="1020" t="s">
        <v>122</v>
      </c>
      <c r="I42" s="808" t="s">
        <v>275</v>
      </c>
      <c r="J42" s="1046" t="s">
        <v>141</v>
      </c>
      <c r="K42" s="1089" t="s">
        <v>484</v>
      </c>
      <c r="L42" s="1092">
        <v>6710623.16</v>
      </c>
      <c r="M42" s="1092">
        <f>N42+O42</f>
        <v>2486852.63</v>
      </c>
      <c r="N42" s="1095">
        <v>2486852.63</v>
      </c>
      <c r="O42" s="1098">
        <v>0</v>
      </c>
      <c r="P42" s="1084">
        <f>M42/L42</f>
        <v>0.3705844555276741</v>
      </c>
      <c r="Q42" s="1084">
        <f>M42/G42</f>
        <v>0.019736925634920632</v>
      </c>
      <c r="R42" s="1121" t="s">
        <v>677</v>
      </c>
      <c r="S42" s="579">
        <f t="shared" si="1"/>
        <v>0.629415544472326</v>
      </c>
      <c r="T42" s="5">
        <f t="shared" si="2"/>
        <v>4223770.53</v>
      </c>
    </row>
    <row r="43" spans="1:20" ht="75" customHeight="1">
      <c r="A43" s="1034"/>
      <c r="B43" s="1038"/>
      <c r="C43" s="1009"/>
      <c r="D43" s="807"/>
      <c r="E43" s="1080"/>
      <c r="F43" s="1028"/>
      <c r="G43" s="904"/>
      <c r="H43" s="1021"/>
      <c r="I43" s="895"/>
      <c r="J43" s="1047"/>
      <c r="K43" s="1090"/>
      <c r="L43" s="1093"/>
      <c r="M43" s="1093"/>
      <c r="N43" s="1096"/>
      <c r="O43" s="1099"/>
      <c r="P43" s="1101"/>
      <c r="Q43" s="1101"/>
      <c r="R43" s="1122"/>
      <c r="S43" s="579" t="e">
        <f t="shared" si="1"/>
        <v>#DIV/0!</v>
      </c>
      <c r="T43" s="5">
        <f t="shared" si="2"/>
        <v>0</v>
      </c>
    </row>
    <row r="44" spans="1:20" ht="109.5" customHeight="1">
      <c r="A44" s="1034"/>
      <c r="B44" s="1038"/>
      <c r="C44" s="1009"/>
      <c r="D44" s="807"/>
      <c r="E44" s="1080"/>
      <c r="F44" s="1028"/>
      <c r="G44" s="904"/>
      <c r="H44" s="1021"/>
      <c r="I44" s="895"/>
      <c r="J44" s="1048"/>
      <c r="K44" s="1091"/>
      <c r="L44" s="1094"/>
      <c r="M44" s="1094"/>
      <c r="N44" s="1097"/>
      <c r="O44" s="1100"/>
      <c r="P44" s="1085"/>
      <c r="Q44" s="1085"/>
      <c r="R44" s="1115"/>
      <c r="S44" s="579"/>
      <c r="T44" s="5"/>
    </row>
    <row r="45" spans="1:20" ht="149.25" customHeight="1">
      <c r="A45" s="1034"/>
      <c r="B45" s="1038"/>
      <c r="C45" s="1009"/>
      <c r="D45" s="807"/>
      <c r="E45" s="1080"/>
      <c r="F45" s="1028"/>
      <c r="G45" s="904"/>
      <c r="H45" s="1021"/>
      <c r="I45" s="895"/>
      <c r="J45" s="676" t="s">
        <v>141</v>
      </c>
      <c r="K45" s="677" t="s">
        <v>476</v>
      </c>
      <c r="L45" s="678">
        <v>1604834.94</v>
      </c>
      <c r="M45" s="678">
        <f>N45+O45</f>
        <v>1604834.94</v>
      </c>
      <c r="N45" s="487">
        <v>1604834.94</v>
      </c>
      <c r="O45" s="522">
        <v>0</v>
      </c>
      <c r="P45" s="651">
        <f>M45/L45</f>
        <v>1</v>
      </c>
      <c r="Q45" s="651">
        <f>M45/G42</f>
        <v>0.012736785238095238</v>
      </c>
      <c r="R45" s="679" t="s">
        <v>678</v>
      </c>
      <c r="S45" s="579"/>
      <c r="T45" s="5"/>
    </row>
    <row r="46" spans="1:20" ht="409.5" customHeight="1">
      <c r="A46" s="1035"/>
      <c r="B46" s="1039"/>
      <c r="C46" s="1010"/>
      <c r="D46" s="782"/>
      <c r="E46" s="1081"/>
      <c r="F46" s="1029"/>
      <c r="G46" s="1082"/>
      <c r="H46" s="1022"/>
      <c r="I46" s="831"/>
      <c r="J46" s="676" t="s">
        <v>411</v>
      </c>
      <c r="K46" s="680" t="s">
        <v>503</v>
      </c>
      <c r="L46" s="678">
        <v>30000</v>
      </c>
      <c r="M46" s="678">
        <f>N46+O46</f>
        <v>30000</v>
      </c>
      <c r="N46" s="485">
        <v>30000</v>
      </c>
      <c r="O46" s="681"/>
      <c r="P46" s="651">
        <f>M46/L46</f>
        <v>1</v>
      </c>
      <c r="Q46" s="651">
        <f>M46/G42</f>
        <v>0.0002380952380952381</v>
      </c>
      <c r="R46" s="679" t="s">
        <v>679</v>
      </c>
      <c r="S46" s="579"/>
      <c r="T46" s="5"/>
    </row>
    <row r="47" spans="1:20" ht="30" customHeight="1">
      <c r="A47" s="1033">
        <v>17</v>
      </c>
      <c r="B47" s="1023" t="s">
        <v>205</v>
      </c>
      <c r="C47" s="1008" t="s">
        <v>388</v>
      </c>
      <c r="D47" s="1008" t="s">
        <v>621</v>
      </c>
      <c r="E47" s="1040" t="s">
        <v>389</v>
      </c>
      <c r="F47" s="1027" t="s">
        <v>206</v>
      </c>
      <c r="G47" s="1043">
        <v>6993444</v>
      </c>
      <c r="H47" s="1030"/>
      <c r="I47" s="808" t="s">
        <v>390</v>
      </c>
      <c r="J47" s="653" t="s">
        <v>296</v>
      </c>
      <c r="K47" s="1089" t="s">
        <v>295</v>
      </c>
      <c r="L47" s="649">
        <v>6975444</v>
      </c>
      <c r="M47" s="649">
        <v>6975444</v>
      </c>
      <c r="N47" s="485">
        <v>6975444</v>
      </c>
      <c r="O47" s="660"/>
      <c r="P47" s="651">
        <f t="shared" si="0"/>
        <v>1</v>
      </c>
      <c r="Q47" s="1084">
        <f>(M47+M48+M49+M50)/G47</f>
        <v>2.064668566731928</v>
      </c>
      <c r="R47" s="1121" t="s">
        <v>680</v>
      </c>
      <c r="S47" s="579">
        <f t="shared" si="1"/>
        <v>0</v>
      </c>
      <c r="T47" s="5">
        <f t="shared" si="2"/>
        <v>0</v>
      </c>
    </row>
    <row r="48" spans="1:20" ht="30">
      <c r="A48" s="1034"/>
      <c r="B48" s="1036"/>
      <c r="C48" s="1009"/>
      <c r="D48" s="807"/>
      <c r="E48" s="1041"/>
      <c r="F48" s="1028"/>
      <c r="G48" s="1044"/>
      <c r="H48" s="1031"/>
      <c r="I48" s="895"/>
      <c r="J48" s="662" t="s">
        <v>299</v>
      </c>
      <c r="K48" s="1090"/>
      <c r="L48" s="645">
        <v>6993444</v>
      </c>
      <c r="M48" s="645">
        <v>6993444</v>
      </c>
      <c r="N48" s="496">
        <v>6993444</v>
      </c>
      <c r="O48" s="682"/>
      <c r="P48" s="651">
        <f t="shared" si="0"/>
        <v>1</v>
      </c>
      <c r="Q48" s="1101"/>
      <c r="R48" s="1122"/>
      <c r="S48" s="579">
        <f t="shared" si="1"/>
        <v>0</v>
      </c>
      <c r="T48" s="5">
        <f t="shared" si="2"/>
        <v>0</v>
      </c>
    </row>
    <row r="49" spans="1:20" ht="75.75" customHeight="1">
      <c r="A49" s="1034"/>
      <c r="B49" s="1036"/>
      <c r="C49" s="1009"/>
      <c r="D49" s="807"/>
      <c r="E49" s="1041"/>
      <c r="F49" s="1028"/>
      <c r="G49" s="1044"/>
      <c r="H49" s="1031"/>
      <c r="I49" s="895"/>
      <c r="J49" s="653" t="s">
        <v>297</v>
      </c>
      <c r="K49" s="1090"/>
      <c r="L49" s="649">
        <v>452256</v>
      </c>
      <c r="M49" s="645">
        <f>N49+O49</f>
        <v>452256</v>
      </c>
      <c r="N49" s="485">
        <v>452256</v>
      </c>
      <c r="O49" s="660"/>
      <c r="P49" s="651">
        <f t="shared" si="0"/>
        <v>1</v>
      </c>
      <c r="Q49" s="1101"/>
      <c r="R49" s="1122"/>
      <c r="S49" s="579">
        <f t="shared" si="1"/>
        <v>0</v>
      </c>
      <c r="T49" s="5">
        <f t="shared" si="2"/>
        <v>0</v>
      </c>
    </row>
    <row r="50" spans="1:20" ht="123.75" customHeight="1">
      <c r="A50" s="1035"/>
      <c r="B50" s="1024"/>
      <c r="C50" s="1010"/>
      <c r="D50" s="782"/>
      <c r="E50" s="1042"/>
      <c r="F50" s="1029"/>
      <c r="G50" s="1045"/>
      <c r="H50" s="1032"/>
      <c r="I50" s="831"/>
      <c r="J50" s="653" t="s">
        <v>298</v>
      </c>
      <c r="K50" s="1091"/>
      <c r="L50" s="649">
        <v>18000</v>
      </c>
      <c r="M50" s="645">
        <f>N50+O50</f>
        <v>18000</v>
      </c>
      <c r="N50" s="485">
        <v>18000</v>
      </c>
      <c r="O50" s="660"/>
      <c r="P50" s="683">
        <f t="shared" si="0"/>
        <v>1</v>
      </c>
      <c r="Q50" s="1085"/>
      <c r="R50" s="1115"/>
      <c r="S50" s="579">
        <f t="shared" si="1"/>
        <v>0</v>
      </c>
      <c r="T50" s="5">
        <f t="shared" si="2"/>
        <v>0</v>
      </c>
    </row>
    <row r="51" spans="1:20" ht="318" customHeight="1">
      <c r="A51" s="655">
        <v>18</v>
      </c>
      <c r="B51" s="684" t="s">
        <v>205</v>
      </c>
      <c r="C51" s="652" t="s">
        <v>345</v>
      </c>
      <c r="D51" s="652" t="s">
        <v>621</v>
      </c>
      <c r="E51" s="237" t="s">
        <v>346</v>
      </c>
      <c r="F51" s="658" t="s">
        <v>8</v>
      </c>
      <c r="G51" s="563">
        <v>30250000</v>
      </c>
      <c r="H51" s="569" t="s">
        <v>529</v>
      </c>
      <c r="I51" s="638" t="s">
        <v>369</v>
      </c>
      <c r="J51" s="652" t="s">
        <v>141</v>
      </c>
      <c r="K51" s="685" t="s">
        <v>355</v>
      </c>
      <c r="L51" s="649">
        <v>1127855.33</v>
      </c>
      <c r="M51" s="649">
        <f>N51+O51</f>
        <v>1010036.8899999999</v>
      </c>
      <c r="N51" s="485">
        <f>139888.21+870022.84+125.84</f>
        <v>1010036.8899999999</v>
      </c>
      <c r="O51" s="673"/>
      <c r="P51" s="651">
        <f t="shared" si="0"/>
        <v>0.8955376306994974</v>
      </c>
      <c r="Q51" s="651">
        <f>M51/G51</f>
        <v>0.03338964925619834</v>
      </c>
      <c r="R51" s="648" t="s">
        <v>681</v>
      </c>
      <c r="S51" s="579">
        <f t="shared" si="1"/>
        <v>0.10446236930050255</v>
      </c>
      <c r="T51" s="5">
        <f t="shared" si="2"/>
        <v>117818.44000000018</v>
      </c>
    </row>
    <row r="52" spans="1:20" ht="146.25" customHeight="1">
      <c r="A52" s="1005">
        <v>19</v>
      </c>
      <c r="B52" s="1072" t="s">
        <v>122</v>
      </c>
      <c r="C52" s="1046" t="s">
        <v>351</v>
      </c>
      <c r="D52" s="1046" t="s">
        <v>627</v>
      </c>
      <c r="E52" s="1011" t="s">
        <v>354</v>
      </c>
      <c r="F52" s="1014" t="s">
        <v>8</v>
      </c>
      <c r="G52" s="1017">
        <v>98373415</v>
      </c>
      <c r="H52" s="1020" t="s">
        <v>122</v>
      </c>
      <c r="I52" s="1086" t="s">
        <v>275</v>
      </c>
      <c r="J52" s="652" t="s">
        <v>141</v>
      </c>
      <c r="K52" s="685" t="s">
        <v>356</v>
      </c>
      <c r="L52" s="649">
        <v>25434805</v>
      </c>
      <c r="M52" s="649">
        <v>0</v>
      </c>
      <c r="N52" s="626">
        <v>0</v>
      </c>
      <c r="O52" s="673">
        <f>M52</f>
        <v>0</v>
      </c>
      <c r="P52" s="651">
        <f t="shared" si="0"/>
        <v>0</v>
      </c>
      <c r="Q52" s="651">
        <f>M52/G52</f>
        <v>0</v>
      </c>
      <c r="R52" s="648" t="s">
        <v>682</v>
      </c>
      <c r="S52" s="579">
        <f t="shared" si="1"/>
        <v>1</v>
      </c>
      <c r="T52" s="5">
        <f t="shared" si="2"/>
        <v>25434805</v>
      </c>
    </row>
    <row r="53" spans="1:20" ht="66" customHeight="1">
      <c r="A53" s="1007"/>
      <c r="B53" s="1073"/>
      <c r="C53" s="1048"/>
      <c r="D53" s="777"/>
      <c r="E53" s="1013"/>
      <c r="F53" s="1016"/>
      <c r="G53" s="1019"/>
      <c r="H53" s="1022"/>
      <c r="I53" s="1088"/>
      <c r="J53" s="643" t="s">
        <v>496</v>
      </c>
      <c r="K53" s="686" t="s">
        <v>479</v>
      </c>
      <c r="L53" s="645">
        <v>0</v>
      </c>
      <c r="M53" s="645">
        <v>0</v>
      </c>
      <c r="N53" s="627">
        <v>0</v>
      </c>
      <c r="O53" s="687">
        <v>0</v>
      </c>
      <c r="P53" s="647"/>
      <c r="Q53" s="647"/>
      <c r="R53" s="688" t="s">
        <v>683</v>
      </c>
      <c r="S53" s="579"/>
      <c r="T53" s="5"/>
    </row>
    <row r="54" spans="1:20" ht="212.25" customHeight="1">
      <c r="A54" s="1005">
        <v>20</v>
      </c>
      <c r="B54" s="1008" t="s">
        <v>69</v>
      </c>
      <c r="C54" s="1008" t="s">
        <v>352</v>
      </c>
      <c r="D54" s="1008" t="s">
        <v>619</v>
      </c>
      <c r="E54" s="1025" t="s">
        <v>353</v>
      </c>
      <c r="F54" s="1027" t="s">
        <v>8</v>
      </c>
      <c r="G54" s="821">
        <v>18098660.44</v>
      </c>
      <c r="H54" s="1020" t="s">
        <v>530</v>
      </c>
      <c r="I54" s="808" t="s">
        <v>275</v>
      </c>
      <c r="J54" s="689" t="s">
        <v>141</v>
      </c>
      <c r="K54" s="690" t="s">
        <v>394</v>
      </c>
      <c r="L54" s="654">
        <v>623121.87</v>
      </c>
      <c r="M54" s="654">
        <v>554433.1</v>
      </c>
      <c r="N54" s="485">
        <v>554433.1</v>
      </c>
      <c r="O54" s="666"/>
      <c r="P54" s="691">
        <f t="shared" si="0"/>
        <v>0.8897667161000142</v>
      </c>
      <c r="Q54" s="1084">
        <f>M54/G54</f>
        <v>0.030633930165054796</v>
      </c>
      <c r="R54" s="648" t="s">
        <v>684</v>
      </c>
      <c r="S54" s="579">
        <f t="shared" si="1"/>
        <v>0.11023328389998575</v>
      </c>
      <c r="T54" s="5">
        <f t="shared" si="2"/>
        <v>68688.77000000002</v>
      </c>
    </row>
    <row r="55" spans="1:20" ht="91.5" customHeight="1">
      <c r="A55" s="1007"/>
      <c r="B55" s="1010"/>
      <c r="C55" s="1010"/>
      <c r="D55" s="782"/>
      <c r="E55" s="1026"/>
      <c r="F55" s="1029"/>
      <c r="G55" s="1082"/>
      <c r="H55" s="1022"/>
      <c r="I55" s="831"/>
      <c r="J55" s="652" t="s">
        <v>392</v>
      </c>
      <c r="K55" s="692" t="s">
        <v>393</v>
      </c>
      <c r="L55" s="654">
        <v>72625.27</v>
      </c>
      <c r="M55" s="654">
        <f>O55</f>
        <v>0</v>
      </c>
      <c r="N55" s="627">
        <v>0</v>
      </c>
      <c r="O55" s="666">
        <v>0</v>
      </c>
      <c r="P55" s="691">
        <f t="shared" si="0"/>
        <v>0</v>
      </c>
      <c r="Q55" s="1085"/>
      <c r="R55" s="648" t="s">
        <v>685</v>
      </c>
      <c r="S55" s="579">
        <f t="shared" si="1"/>
        <v>1</v>
      </c>
      <c r="T55" s="5">
        <f t="shared" si="2"/>
        <v>72625.27</v>
      </c>
    </row>
    <row r="56" spans="1:20" ht="169.5" customHeight="1">
      <c r="A56" s="693">
        <v>21</v>
      </c>
      <c r="B56" s="689" t="s">
        <v>205</v>
      </c>
      <c r="C56" s="689" t="s">
        <v>380</v>
      </c>
      <c r="D56" s="689" t="s">
        <v>621</v>
      </c>
      <c r="E56" s="642" t="s">
        <v>381</v>
      </c>
      <c r="F56" s="694" t="s">
        <v>8</v>
      </c>
      <c r="G56" s="636">
        <v>38841252.12</v>
      </c>
      <c r="H56" s="641" t="s">
        <v>531</v>
      </c>
      <c r="I56" s="637" t="s">
        <v>275</v>
      </c>
      <c r="J56" s="689" t="s">
        <v>141</v>
      </c>
      <c r="K56" s="690" t="s">
        <v>487</v>
      </c>
      <c r="L56" s="695">
        <v>638862.01</v>
      </c>
      <c r="M56" s="695">
        <f>N56+O56</f>
        <v>588414.285</v>
      </c>
      <c r="N56" s="485">
        <v>588414.285</v>
      </c>
      <c r="O56" s="696"/>
      <c r="P56" s="697">
        <f>M56/L56</f>
        <v>0.92103502131861</v>
      </c>
      <c r="Q56" s="697">
        <f>M56/G56</f>
        <v>0.015149209999257873</v>
      </c>
      <c r="R56" s="698" t="s">
        <v>686</v>
      </c>
      <c r="S56" s="579">
        <f t="shared" si="1"/>
        <v>0.07896497868139002</v>
      </c>
      <c r="T56" s="5">
        <f t="shared" si="2"/>
        <v>50447.72499999998</v>
      </c>
    </row>
    <row r="57" spans="1:20" ht="174" customHeight="1">
      <c r="A57" s="693">
        <v>22</v>
      </c>
      <c r="B57" s="689" t="s">
        <v>488</v>
      </c>
      <c r="C57" s="689" t="s">
        <v>408</v>
      </c>
      <c r="D57" s="689" t="s">
        <v>627</v>
      </c>
      <c r="E57" s="642" t="s">
        <v>409</v>
      </c>
      <c r="F57" s="694" t="s">
        <v>28</v>
      </c>
      <c r="G57" s="636">
        <v>79966739</v>
      </c>
      <c r="H57" s="639" t="s">
        <v>530</v>
      </c>
      <c r="I57" s="637" t="s">
        <v>376</v>
      </c>
      <c r="J57" s="689" t="s">
        <v>410</v>
      </c>
      <c r="K57" s="677" t="s">
        <v>489</v>
      </c>
      <c r="L57" s="695">
        <v>46844.265</v>
      </c>
      <c r="M57" s="695">
        <v>46844.265</v>
      </c>
      <c r="N57" s="245">
        <v>46844.27</v>
      </c>
      <c r="O57" s="696"/>
      <c r="P57" s="697">
        <f t="shared" si="0"/>
        <v>1</v>
      </c>
      <c r="Q57" s="697">
        <f>M57/G57</f>
        <v>0.0005857968648690301</v>
      </c>
      <c r="R57" s="699" t="s">
        <v>687</v>
      </c>
      <c r="S57" s="398">
        <f t="shared" si="1"/>
        <v>0</v>
      </c>
      <c r="T57" s="405">
        <f t="shared" si="2"/>
        <v>0</v>
      </c>
    </row>
    <row r="58" spans="1:20" ht="210" customHeight="1" thickBot="1">
      <c r="A58" s="655">
        <v>23</v>
      </c>
      <c r="B58" s="689" t="s">
        <v>416</v>
      </c>
      <c r="C58" s="689" t="s">
        <v>417</v>
      </c>
      <c r="D58" s="689" t="s">
        <v>621</v>
      </c>
      <c r="E58" s="642" t="s">
        <v>418</v>
      </c>
      <c r="F58" s="694" t="s">
        <v>10</v>
      </c>
      <c r="G58" s="636">
        <v>832307</v>
      </c>
      <c r="H58" s="639" t="s">
        <v>532</v>
      </c>
      <c r="I58" s="637" t="s">
        <v>275</v>
      </c>
      <c r="J58" s="689" t="s">
        <v>419</v>
      </c>
      <c r="K58" s="700" t="s">
        <v>420</v>
      </c>
      <c r="L58" s="654">
        <v>262855.24</v>
      </c>
      <c r="M58" s="654">
        <v>262855.24</v>
      </c>
      <c r="N58" s="501">
        <v>262855.24</v>
      </c>
      <c r="O58" s="666"/>
      <c r="P58" s="651">
        <f t="shared" si="0"/>
        <v>1</v>
      </c>
      <c r="Q58" s="651">
        <f>M58/G58</f>
        <v>0.31581524605704386</v>
      </c>
      <c r="R58" s="701" t="s">
        <v>688</v>
      </c>
      <c r="S58" s="398"/>
      <c r="T58" s="405"/>
    </row>
    <row r="59" spans="1:20" ht="138.75" customHeight="1">
      <c r="A59" s="1005">
        <v>24</v>
      </c>
      <c r="B59" s="1008" t="s">
        <v>122</v>
      </c>
      <c r="C59" s="1008" t="s">
        <v>421</v>
      </c>
      <c r="D59" s="1008" t="s">
        <v>627</v>
      </c>
      <c r="E59" s="1011" t="s">
        <v>443</v>
      </c>
      <c r="F59" s="1014" t="s">
        <v>8</v>
      </c>
      <c r="G59" s="1017">
        <v>79806000</v>
      </c>
      <c r="H59" s="1020" t="s">
        <v>122</v>
      </c>
      <c r="I59" s="1086" t="s">
        <v>275</v>
      </c>
      <c r="J59" s="652" t="s">
        <v>141</v>
      </c>
      <c r="K59" s="652" t="s">
        <v>490</v>
      </c>
      <c r="L59" s="678">
        <v>7641510.87</v>
      </c>
      <c r="M59" s="678">
        <f>N59+O59</f>
        <v>3476353.75</v>
      </c>
      <c r="N59" s="533">
        <v>3476353.75</v>
      </c>
      <c r="O59" s="519">
        <v>0</v>
      </c>
      <c r="P59" s="651">
        <f>M59/L59</f>
        <v>0.45493015833398925</v>
      </c>
      <c r="Q59" s="651">
        <f>M59/G59</f>
        <v>0.04356005500839536</v>
      </c>
      <c r="R59" s="702" t="s">
        <v>689</v>
      </c>
      <c r="S59" s="398"/>
      <c r="T59" s="405"/>
    </row>
    <row r="60" spans="1:20" ht="172.5" customHeight="1">
      <c r="A60" s="1006"/>
      <c r="B60" s="1009"/>
      <c r="C60" s="1009"/>
      <c r="D60" s="807"/>
      <c r="E60" s="1012"/>
      <c r="F60" s="1015"/>
      <c r="G60" s="1018"/>
      <c r="H60" s="1021"/>
      <c r="I60" s="1087"/>
      <c r="J60" s="652" t="s">
        <v>141</v>
      </c>
      <c r="K60" s="652" t="s">
        <v>477</v>
      </c>
      <c r="L60" s="654">
        <v>274730.37</v>
      </c>
      <c r="M60" s="654">
        <f>N60+O60</f>
        <v>274730.37</v>
      </c>
      <c r="N60" s="533">
        <v>274730.37</v>
      </c>
      <c r="O60" s="520">
        <v>0</v>
      </c>
      <c r="P60" s="651">
        <f>M60/L60</f>
        <v>1</v>
      </c>
      <c r="Q60" s="651">
        <f>M60/G59</f>
        <v>0.0034424776332606572</v>
      </c>
      <c r="R60" s="703" t="s">
        <v>678</v>
      </c>
      <c r="S60" s="398"/>
      <c r="T60" s="405"/>
    </row>
    <row r="61" spans="1:20" ht="81" customHeight="1">
      <c r="A61" s="1006"/>
      <c r="B61" s="1009"/>
      <c r="C61" s="1009"/>
      <c r="D61" s="807"/>
      <c r="E61" s="1012"/>
      <c r="F61" s="1015"/>
      <c r="G61" s="1018"/>
      <c r="H61" s="1021"/>
      <c r="I61" s="1087"/>
      <c r="J61" s="652" t="s">
        <v>151</v>
      </c>
      <c r="K61" s="652" t="s">
        <v>598</v>
      </c>
      <c r="L61" s="678">
        <v>0</v>
      </c>
      <c r="M61" s="678">
        <v>0</v>
      </c>
      <c r="N61" s="497">
        <v>0</v>
      </c>
      <c r="O61" s="498">
        <v>0</v>
      </c>
      <c r="P61" s="651"/>
      <c r="Q61" s="651"/>
      <c r="R61" s="702" t="s">
        <v>690</v>
      </c>
      <c r="S61" s="398"/>
      <c r="T61" s="405"/>
    </row>
    <row r="62" spans="1:20" ht="396.75" customHeight="1">
      <c r="A62" s="1006"/>
      <c r="B62" s="1009"/>
      <c r="C62" s="1009"/>
      <c r="D62" s="807"/>
      <c r="E62" s="1012"/>
      <c r="F62" s="1015"/>
      <c r="G62" s="1018"/>
      <c r="H62" s="1021"/>
      <c r="I62" s="1087"/>
      <c r="J62" s="652" t="s">
        <v>151</v>
      </c>
      <c r="K62" s="652" t="s">
        <v>480</v>
      </c>
      <c r="L62" s="678">
        <v>60000</v>
      </c>
      <c r="M62" s="678">
        <f>N62+O62</f>
        <v>60000</v>
      </c>
      <c r="N62" s="533">
        <v>60000</v>
      </c>
      <c r="O62" s="498"/>
      <c r="P62" s="651">
        <f>M62/L62</f>
        <v>1</v>
      </c>
      <c r="Q62" s="651">
        <f>M62/G59</f>
        <v>0.0007518231711901361</v>
      </c>
      <c r="R62" s="702" t="s">
        <v>691</v>
      </c>
      <c r="S62" s="398"/>
      <c r="T62" s="405"/>
    </row>
    <row r="63" spans="1:20" ht="405.75" customHeight="1">
      <c r="A63" s="1006"/>
      <c r="B63" s="1009"/>
      <c r="C63" s="1009"/>
      <c r="D63" s="807"/>
      <c r="E63" s="1012"/>
      <c r="F63" s="1015"/>
      <c r="G63" s="1018"/>
      <c r="H63" s="1021"/>
      <c r="I63" s="1087"/>
      <c r="J63" s="652" t="s">
        <v>151</v>
      </c>
      <c r="K63" s="652" t="s">
        <v>501</v>
      </c>
      <c r="L63" s="678">
        <v>100000</v>
      </c>
      <c r="M63" s="678">
        <f>N63+O63</f>
        <v>100000</v>
      </c>
      <c r="N63" s="533">
        <v>100000</v>
      </c>
      <c r="O63" s="498"/>
      <c r="P63" s="651">
        <f>M63/L63</f>
        <v>1</v>
      </c>
      <c r="Q63" s="651">
        <f>M63/G59</f>
        <v>0.001253038618650227</v>
      </c>
      <c r="R63" s="702" t="s">
        <v>692</v>
      </c>
      <c r="S63" s="398"/>
      <c r="T63" s="405"/>
    </row>
    <row r="64" spans="1:20" ht="391.5" customHeight="1">
      <c r="A64" s="1007"/>
      <c r="B64" s="1010"/>
      <c r="C64" s="1010"/>
      <c r="D64" s="782"/>
      <c r="E64" s="1013"/>
      <c r="F64" s="1016"/>
      <c r="G64" s="1019"/>
      <c r="H64" s="1022"/>
      <c r="I64" s="1088"/>
      <c r="J64" s="652" t="s">
        <v>151</v>
      </c>
      <c r="K64" s="652" t="s">
        <v>502</v>
      </c>
      <c r="L64" s="678">
        <v>10000</v>
      </c>
      <c r="M64" s="678">
        <f>N64+O64</f>
        <v>10000</v>
      </c>
      <c r="N64" s="533">
        <v>10000</v>
      </c>
      <c r="O64" s="498"/>
      <c r="P64" s="651">
        <f>M64/L64</f>
        <v>1</v>
      </c>
      <c r="Q64" s="651">
        <f>M64/G59</f>
        <v>0.00012530386186502269</v>
      </c>
      <c r="R64" s="702" t="s">
        <v>693</v>
      </c>
      <c r="S64" s="398"/>
      <c r="T64" s="405"/>
    </row>
    <row r="65" spans="1:20" ht="184.5" customHeight="1">
      <c r="A65" s="704">
        <v>25</v>
      </c>
      <c r="B65" s="652" t="s">
        <v>69</v>
      </c>
      <c r="C65" s="652" t="s">
        <v>434</v>
      </c>
      <c r="D65" s="652" t="s">
        <v>619</v>
      </c>
      <c r="E65" s="237" t="s">
        <v>442</v>
      </c>
      <c r="F65" s="658" t="s">
        <v>68</v>
      </c>
      <c r="G65" s="445" t="s">
        <v>441</v>
      </c>
      <c r="H65" s="569" t="s">
        <v>69</v>
      </c>
      <c r="I65" s="638" t="s">
        <v>435</v>
      </c>
      <c r="J65" s="652" t="s">
        <v>410</v>
      </c>
      <c r="K65" s="652" t="s">
        <v>436</v>
      </c>
      <c r="L65" s="705">
        <v>1288295.9</v>
      </c>
      <c r="M65" s="705">
        <v>1288295.9</v>
      </c>
      <c r="N65" s="533">
        <v>1288295.9</v>
      </c>
      <c r="O65" s="521"/>
      <c r="P65" s="706">
        <f t="shared" si="0"/>
        <v>1</v>
      </c>
      <c r="Q65" s="706">
        <f>M65/14016475</f>
        <v>0.09191297383971361</v>
      </c>
      <c r="R65" s="707" t="s">
        <v>694</v>
      </c>
      <c r="S65" s="398"/>
      <c r="T65" s="405"/>
    </row>
    <row r="66" spans="1:20" ht="184.5" customHeight="1">
      <c r="A66" s="708">
        <v>26</v>
      </c>
      <c r="B66" s="652" t="s">
        <v>205</v>
      </c>
      <c r="C66" s="652" t="s">
        <v>608</v>
      </c>
      <c r="D66" s="652" t="s">
        <v>621</v>
      </c>
      <c r="E66" s="237" t="s">
        <v>634</v>
      </c>
      <c r="F66" s="658" t="s">
        <v>68</v>
      </c>
      <c r="G66" s="445">
        <v>6979266.31</v>
      </c>
      <c r="H66" s="569" t="s">
        <v>205</v>
      </c>
      <c r="I66" s="638" t="s">
        <v>635</v>
      </c>
      <c r="J66" s="652" t="s">
        <v>410</v>
      </c>
      <c r="K66" s="677" t="s">
        <v>633</v>
      </c>
      <c r="L66" s="709">
        <v>581901</v>
      </c>
      <c r="M66" s="709">
        <f>N66+O66</f>
        <v>581901</v>
      </c>
      <c r="N66" s="596">
        <v>581901</v>
      </c>
      <c r="O66" s="597"/>
      <c r="P66" s="706">
        <f>M66/L66</f>
        <v>1</v>
      </c>
      <c r="Q66" s="706">
        <f>M66/G66</f>
        <v>0.08337566932590655</v>
      </c>
      <c r="R66" s="707" t="s">
        <v>695</v>
      </c>
      <c r="S66" s="398"/>
      <c r="T66" s="405"/>
    </row>
    <row r="67" spans="1:20" ht="184.5" customHeight="1" thickBot="1">
      <c r="A67" s="708">
        <v>27</v>
      </c>
      <c r="B67" s="734" t="s">
        <v>724</v>
      </c>
      <c r="C67" s="652" t="s">
        <v>718</v>
      </c>
      <c r="D67" s="652" t="s">
        <v>623</v>
      </c>
      <c r="E67" s="237" t="s">
        <v>719</v>
      </c>
      <c r="F67" s="658" t="s">
        <v>720</v>
      </c>
      <c r="G67" s="445">
        <v>3501025</v>
      </c>
      <c r="H67" s="569" t="s">
        <v>530</v>
      </c>
      <c r="I67" s="730" t="s">
        <v>635</v>
      </c>
      <c r="J67" s="652" t="s">
        <v>721</v>
      </c>
      <c r="K67" s="677" t="s">
        <v>722</v>
      </c>
      <c r="L67" s="709">
        <v>27029.82</v>
      </c>
      <c r="M67" s="709">
        <f>N67+O67</f>
        <v>27029.82</v>
      </c>
      <c r="N67" s="731">
        <v>27029.82</v>
      </c>
      <c r="O67" s="597"/>
      <c r="P67" s="706">
        <f>M67/L67</f>
        <v>1</v>
      </c>
      <c r="Q67" s="706">
        <f>M67/G67</f>
        <v>0.007720544697624267</v>
      </c>
      <c r="R67" s="732" t="s">
        <v>723</v>
      </c>
      <c r="S67" s="398"/>
      <c r="T67" s="405"/>
    </row>
    <row r="68" spans="1:20" ht="28.5" customHeight="1" thickBot="1">
      <c r="A68" s="581"/>
      <c r="B68" s="414" t="s">
        <v>129</v>
      </c>
      <c r="C68" s="525"/>
      <c r="D68" s="525"/>
      <c r="E68" s="710"/>
      <c r="F68" s="711"/>
      <c r="G68" s="415">
        <f>SUM(G5:G66)</f>
        <v>3550044485.22</v>
      </c>
      <c r="H68" s="570"/>
      <c r="I68" s="712"/>
      <c r="J68" s="712"/>
      <c r="K68" s="713"/>
      <c r="L68" s="429">
        <f>SUM(L5:L66)</f>
        <v>894713980.0845001</v>
      </c>
      <c r="M68" s="430">
        <f>SUM(M5:M66)</f>
        <v>304548411.02399987</v>
      </c>
      <c r="N68" s="481">
        <f>SUM(N5:N67)+33160392+1.39+9754815.5+1383415.5+3943215+96798.25+290394.75+315202</f>
        <v>338357350.49399996</v>
      </c>
      <c r="O68" s="431">
        <f>SUM(O5:O66)</f>
        <v>5310710.995</v>
      </c>
      <c r="P68" s="432">
        <f>M68/L68</f>
        <v>0.3403863332897036</v>
      </c>
      <c r="Q68" s="416">
        <f>M68/G68</f>
        <v>0.0857872097918589</v>
      </c>
      <c r="R68" s="714" t="s">
        <v>210</v>
      </c>
      <c r="S68" s="250">
        <f>T68/L68</f>
        <v>0.6596136667102963</v>
      </c>
      <c r="T68" s="380">
        <f>L68-M68</f>
        <v>590165569.0605001</v>
      </c>
    </row>
    <row r="69" spans="1:20" ht="30" customHeight="1">
      <c r="A69" s="582"/>
      <c r="B69" s="313" t="s">
        <v>156</v>
      </c>
      <c r="C69" s="1128" t="s">
        <v>225</v>
      </c>
      <c r="D69" s="1128"/>
      <c r="E69" s="1128"/>
      <c r="F69" s="1128"/>
      <c r="G69" s="530"/>
      <c r="H69" s="571"/>
      <c r="I69" s="248"/>
      <c r="J69" s="248"/>
      <c r="K69" s="249"/>
      <c r="L69" s="222" t="s">
        <v>210</v>
      </c>
      <c r="M69" s="222" t="s">
        <v>210</v>
      </c>
      <c r="N69" s="223">
        <f>461138.5+438135+1383415.5+3943215+96798.25+290394.75+N66+N65+N64+N63+N62+N60+N59+N58+N57+N56+N54+N51+N50+N49+N48+N47+N46+N45+N42+N40+N37+N36+N35+N34+N32+N31+N29+N28+N27+N25+N24+N21+N22+N20+N19+N18+N17+N16+N15+N13+N11+N9+33160392+315202+105068</f>
        <v>218411244.964</v>
      </c>
      <c r="O69" s="224" t="s">
        <v>210</v>
      </c>
      <c r="P69" s="222" t="s">
        <v>210</v>
      </c>
      <c r="Q69" s="247" t="s">
        <v>210</v>
      </c>
      <c r="R69" s="715" t="s">
        <v>210</v>
      </c>
      <c r="S69" s="716" t="s">
        <v>210</v>
      </c>
      <c r="T69" s="717" t="s">
        <v>210</v>
      </c>
    </row>
    <row r="70" spans="1:20" ht="30.75" customHeight="1" thickBot="1">
      <c r="A70" s="583"/>
      <c r="B70" s="584" t="s">
        <v>156</v>
      </c>
      <c r="C70" s="1123" t="s">
        <v>696</v>
      </c>
      <c r="D70" s="1123"/>
      <c r="E70" s="1123"/>
      <c r="F70" s="1123"/>
      <c r="G70" s="1123"/>
      <c r="H70" s="1123"/>
      <c r="I70" s="1123"/>
      <c r="J70" s="1123"/>
      <c r="K70" s="1124"/>
      <c r="L70" s="585" t="s">
        <v>210</v>
      </c>
      <c r="M70" s="585" t="s">
        <v>210</v>
      </c>
      <c r="N70" s="586">
        <f>N68-N69</f>
        <v>119946105.52999997</v>
      </c>
      <c r="O70" s="587">
        <f>O68</f>
        <v>5310710.995</v>
      </c>
      <c r="P70" s="718" t="s">
        <v>210</v>
      </c>
      <c r="Q70" s="719" t="s">
        <v>210</v>
      </c>
      <c r="R70" s="720" t="s">
        <v>210</v>
      </c>
      <c r="S70" s="721" t="s">
        <v>210</v>
      </c>
      <c r="T70" s="722" t="s">
        <v>210</v>
      </c>
    </row>
    <row r="71" spans="1:17" ht="15">
      <c r="A71" s="17"/>
      <c r="B71" s="148"/>
      <c r="C71" s="526"/>
      <c r="D71" s="526"/>
      <c r="E71" s="528"/>
      <c r="F71" s="528"/>
      <c r="G71" s="531"/>
      <c r="H71" s="572"/>
      <c r="I71" s="19"/>
      <c r="J71" s="19"/>
      <c r="K71" s="19"/>
      <c r="L71" s="19"/>
      <c r="M71" s="19"/>
      <c r="N71" s="20"/>
      <c r="O71" s="21"/>
      <c r="P71" s="21"/>
      <c r="Q71" s="21"/>
    </row>
    <row r="72" spans="1:17" ht="15">
      <c r="A72" s="22"/>
      <c r="B72" s="24"/>
      <c r="C72" s="527"/>
      <c r="D72" s="527"/>
      <c r="N72" s="21"/>
      <c r="O72" s="21"/>
      <c r="P72" s="21"/>
      <c r="Q72" s="21"/>
    </row>
    <row r="73" spans="1:17" ht="15">
      <c r="A73" s="22"/>
      <c r="B73" s="482" t="s">
        <v>455</v>
      </c>
      <c r="C73" s="526"/>
      <c r="D73" s="526"/>
      <c r="L73" s="723"/>
      <c r="M73" s="723"/>
      <c r="N73" s="724"/>
      <c r="O73" s="71"/>
      <c r="P73" s="173"/>
      <c r="Q73" s="173"/>
    </row>
    <row r="74" spans="1:17" ht="51.75" customHeight="1">
      <c r="A74" s="17"/>
      <c r="B74" s="772" t="s">
        <v>697</v>
      </c>
      <c r="C74" s="772"/>
      <c r="D74" s="772"/>
      <c r="E74" s="772"/>
      <c r="F74" s="772"/>
      <c r="G74" s="772"/>
      <c r="H74" s="772"/>
      <c r="I74" s="772"/>
      <c r="J74" s="19"/>
      <c r="K74" s="19"/>
      <c r="L74" s="253"/>
      <c r="M74" s="253"/>
      <c r="N74" s="21"/>
      <c r="O74" s="21"/>
      <c r="P74" s="21"/>
      <c r="Q74" s="21"/>
    </row>
    <row r="75" spans="1:17" ht="27" customHeight="1">
      <c r="A75" s="17"/>
      <c r="B75" s="772" t="s">
        <v>698</v>
      </c>
      <c r="C75" s="1125"/>
      <c r="D75" s="1125"/>
      <c r="E75" s="1125"/>
      <c r="F75" s="1125"/>
      <c r="G75" s="1125"/>
      <c r="H75" s="1125"/>
      <c r="I75" s="1125"/>
      <c r="J75" s="19"/>
      <c r="K75" s="19"/>
      <c r="L75" s="19"/>
      <c r="M75" s="19"/>
      <c r="N75" s="21"/>
      <c r="O75" s="21"/>
      <c r="P75" s="21"/>
      <c r="Q75" s="21"/>
    </row>
    <row r="76" spans="1:17" ht="15">
      <c r="A76" s="17"/>
      <c r="B76" s="24"/>
      <c r="C76" s="58"/>
      <c r="D76" s="58"/>
      <c r="E76" s="528"/>
      <c r="F76" s="528"/>
      <c r="G76" s="531"/>
      <c r="H76" s="572"/>
      <c r="I76" s="19"/>
      <c r="J76" s="19"/>
      <c r="K76" s="19"/>
      <c r="L76" s="19"/>
      <c r="M76" s="19"/>
      <c r="N76" s="21"/>
      <c r="O76" s="21"/>
      <c r="P76" s="21"/>
      <c r="Q76" s="21"/>
    </row>
    <row r="77" spans="1:17" ht="15">
      <c r="A77" s="17"/>
      <c r="B77" s="24"/>
      <c r="C77" s="58"/>
      <c r="D77" s="58"/>
      <c r="E77" s="528"/>
      <c r="F77" s="528"/>
      <c r="G77" s="531"/>
      <c r="H77" s="572"/>
      <c r="I77" s="19"/>
      <c r="J77" s="19"/>
      <c r="K77" s="19"/>
      <c r="L77" s="19"/>
      <c r="M77" s="19"/>
      <c r="N77" s="21"/>
      <c r="O77" s="21"/>
      <c r="P77" s="21"/>
      <c r="Q77" s="21"/>
    </row>
    <row r="78" spans="1:17" ht="15">
      <c r="A78" s="17"/>
      <c r="B78" s="24"/>
      <c r="C78" s="58"/>
      <c r="D78" s="58"/>
      <c r="E78" s="528"/>
      <c r="F78" s="528"/>
      <c r="G78" s="531"/>
      <c r="H78" s="572"/>
      <c r="I78" s="19"/>
      <c r="J78" s="19"/>
      <c r="K78" s="19"/>
      <c r="L78" s="19"/>
      <c r="M78" s="19"/>
      <c r="N78" s="21"/>
      <c r="O78" s="21"/>
      <c r="P78" s="21"/>
      <c r="Q78" s="21"/>
    </row>
    <row r="79" spans="1:17" ht="15">
      <c r="A79" s="17"/>
      <c r="B79" s="149"/>
      <c r="C79" s="58"/>
      <c r="D79" s="58"/>
      <c r="I79" s="23"/>
      <c r="J79" s="23"/>
      <c r="K79" s="23"/>
      <c r="L79" s="472"/>
      <c r="M79" s="472"/>
      <c r="N79" s="472"/>
      <c r="O79" s="472"/>
      <c r="P79" s="472"/>
      <c r="Q79" s="472"/>
    </row>
    <row r="80" spans="1:17" ht="15">
      <c r="A80" s="17"/>
      <c r="B80" s="149"/>
      <c r="C80" s="527"/>
      <c r="D80" s="527"/>
      <c r="I80" s="23"/>
      <c r="J80" s="23"/>
      <c r="K80" s="23"/>
      <c r="L80" s="472"/>
      <c r="M80" s="472"/>
      <c r="N80" s="472"/>
      <c r="O80" s="472"/>
      <c r="P80" s="472"/>
      <c r="Q80" s="472"/>
    </row>
    <row r="81" spans="1:17" ht="15">
      <c r="A81" s="17"/>
      <c r="B81" s="149"/>
      <c r="C81" s="527"/>
      <c r="D81" s="527"/>
      <c r="I81" s="23"/>
      <c r="J81" s="23"/>
      <c r="K81" s="23"/>
      <c r="L81" s="472"/>
      <c r="M81" s="472"/>
      <c r="N81" s="472"/>
      <c r="O81" s="472"/>
      <c r="P81" s="472"/>
      <c r="Q81" s="472"/>
    </row>
    <row r="82" spans="1:17" ht="15">
      <c r="A82" s="17"/>
      <c r="B82" s="149"/>
      <c r="C82" s="527"/>
      <c r="D82" s="527"/>
      <c r="I82" s="23"/>
      <c r="J82" s="23"/>
      <c r="K82" s="23"/>
      <c r="L82" s="472"/>
      <c r="M82" s="472"/>
      <c r="N82" s="472"/>
      <c r="O82" s="472"/>
      <c r="P82" s="472"/>
      <c r="Q82" s="472"/>
    </row>
    <row r="83" spans="1:17" ht="15">
      <c r="A83" s="17"/>
      <c r="B83" s="149"/>
      <c r="C83" s="527"/>
      <c r="D83" s="527"/>
      <c r="I83" s="23"/>
      <c r="J83" s="23"/>
      <c r="K83" s="23"/>
      <c r="L83" s="472"/>
      <c r="M83" s="472"/>
      <c r="N83" s="472"/>
      <c r="O83" s="472"/>
      <c r="P83" s="9"/>
      <c r="Q83" s="9"/>
    </row>
    <row r="84" spans="1:17" ht="15">
      <c r="A84" s="17"/>
      <c r="I84" s="23"/>
      <c r="J84" s="23"/>
      <c r="K84" s="23"/>
      <c r="L84" s="472"/>
      <c r="M84" s="472"/>
      <c r="N84" s="472"/>
      <c r="O84" s="472"/>
      <c r="P84" s="9"/>
      <c r="Q84" s="9"/>
    </row>
    <row r="85" spans="1:17" ht="15">
      <c r="A85" s="17"/>
      <c r="I85" s="23"/>
      <c r="J85" s="23"/>
      <c r="K85" s="23"/>
      <c r="L85" s="472"/>
      <c r="M85" s="472"/>
      <c r="N85" s="472"/>
      <c r="O85" s="472"/>
      <c r="P85" s="9"/>
      <c r="Q85" s="9"/>
    </row>
    <row r="86" spans="1:17" ht="15">
      <c r="A86" s="17"/>
      <c r="I86" s="23"/>
      <c r="J86" s="23"/>
      <c r="K86" s="23"/>
      <c r="L86" s="23"/>
      <c r="M86" s="23"/>
      <c r="N86" s="9"/>
      <c r="O86" s="9"/>
      <c r="P86" s="9"/>
      <c r="Q86" s="9"/>
    </row>
    <row r="87" spans="1:17" ht="15">
      <c r="A87" s="17"/>
      <c r="I87" s="23"/>
      <c r="J87" s="23"/>
      <c r="K87" s="23"/>
      <c r="L87" s="23"/>
      <c r="M87" s="23"/>
      <c r="N87" s="9"/>
      <c r="O87" s="9"/>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9"/>
      <c r="I114" s="23"/>
      <c r="J114" s="23"/>
      <c r="K114" s="23"/>
      <c r="L114" s="23"/>
      <c r="M114" s="23"/>
      <c r="N114" s="9"/>
      <c r="O114" s="9"/>
      <c r="P114" s="9"/>
      <c r="Q114" s="9"/>
    </row>
    <row r="115" spans="1:17" ht="15">
      <c r="A115" s="19"/>
      <c r="I115" s="23"/>
      <c r="J115" s="23"/>
      <c r="K115" s="23"/>
      <c r="L115" s="23"/>
      <c r="M115" s="23"/>
      <c r="N115" s="9"/>
      <c r="O115" s="9"/>
      <c r="P115" s="9"/>
      <c r="Q115" s="9"/>
    </row>
    <row r="116" spans="1:17" ht="15">
      <c r="A116" s="19"/>
      <c r="I116" s="23"/>
      <c r="J116" s="23"/>
      <c r="K116" s="23"/>
      <c r="L116" s="23"/>
      <c r="M116" s="23"/>
      <c r="N116" s="9"/>
      <c r="O116" s="9"/>
      <c r="P116" s="9"/>
      <c r="Q116" s="9"/>
    </row>
    <row r="117" spans="1:17" ht="15">
      <c r="A117" s="19"/>
      <c r="I117" s="23"/>
      <c r="J117" s="23"/>
      <c r="K117" s="23"/>
      <c r="L117" s="23"/>
      <c r="M117" s="23"/>
      <c r="N117" s="9"/>
      <c r="O117" s="9"/>
      <c r="P117" s="9"/>
      <c r="Q117" s="9"/>
    </row>
    <row r="118" spans="9:17" ht="15">
      <c r="I118" s="23"/>
      <c r="J118" s="23"/>
      <c r="K118" s="23"/>
      <c r="L118" s="23"/>
      <c r="M118" s="23"/>
      <c r="N118" s="9"/>
      <c r="O118" s="9"/>
      <c r="P118" s="9"/>
      <c r="Q118" s="9"/>
    </row>
    <row r="119" spans="9:17" ht="15">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7" ht="15">
      <c r="I127" s="23"/>
      <c r="J127" s="23"/>
      <c r="K127" s="23"/>
      <c r="L127" s="23"/>
      <c r="M127" s="23"/>
      <c r="N127" s="9"/>
      <c r="O127" s="9"/>
      <c r="P127" s="9"/>
      <c r="Q127" s="9"/>
    </row>
    <row r="128" spans="9:13" ht="15">
      <c r="I128" s="23"/>
      <c r="J128" s="23"/>
      <c r="K128" s="23"/>
      <c r="L128" s="23"/>
      <c r="M128" s="23"/>
    </row>
    <row r="129" spans="9:13" ht="15">
      <c r="I129" s="23"/>
      <c r="J129" s="23"/>
      <c r="K129" s="23"/>
      <c r="L129" s="23"/>
      <c r="M129" s="23"/>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row r="134" spans="9:13" ht="15">
      <c r="I134" s="23"/>
      <c r="J134" s="23"/>
      <c r="K134" s="23"/>
      <c r="L134" s="23"/>
      <c r="M134" s="23"/>
    </row>
  </sheetData>
  <sheetProtection/>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70:K70"/>
    <mergeCell ref="B74:I74"/>
    <mergeCell ref="B75:I75"/>
    <mergeCell ref="I35:I36"/>
    <mergeCell ref="Q35:Q36"/>
    <mergeCell ref="I37:I39"/>
    <mergeCell ref="Q37:Q39"/>
    <mergeCell ref="I40:I41"/>
    <mergeCell ref="Q40:Q41"/>
    <mergeCell ref="I42:I46"/>
    <mergeCell ref="H52:H53"/>
    <mergeCell ref="G52:G53"/>
    <mergeCell ref="F52:F53"/>
    <mergeCell ref="E52:E53"/>
    <mergeCell ref="C52:C53"/>
    <mergeCell ref="B52:B53"/>
    <mergeCell ref="C69:F69"/>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1" r:id="rId1"/>
  <headerFooter>
    <oddFooter>&amp;RZpracoval odbor finanční , stav k 1. 9.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609</v>
      </c>
    </row>
    <row r="5" spans="1:5" ht="15.75" thickBot="1">
      <c r="A5" s="607"/>
      <c r="B5" s="616" t="s">
        <v>599</v>
      </c>
      <c r="C5" s="617" t="s">
        <v>610</v>
      </c>
      <c r="D5" s="618" t="s">
        <v>600</v>
      </c>
      <c r="E5" s="619" t="s">
        <v>601</v>
      </c>
    </row>
    <row r="6" spans="1:5" ht="30.75" thickTop="1">
      <c r="A6" s="606" t="s">
        <v>602</v>
      </c>
      <c r="B6" s="611" t="s">
        <v>215</v>
      </c>
      <c r="C6" s="608">
        <f>134201.25*0.85+361507.25*0.85</f>
        <v>421352.225</v>
      </c>
      <c r="D6" s="604">
        <v>393222.74</v>
      </c>
      <c r="E6" s="605">
        <f>C6-D6</f>
        <v>28129.484999999986</v>
      </c>
    </row>
    <row r="7" spans="1:6" ht="45">
      <c r="A7" s="599" t="s">
        <v>603</v>
      </c>
      <c r="B7" s="612" t="s">
        <v>169</v>
      </c>
      <c r="C7" s="609">
        <f>44293.75*0.85</f>
        <v>37649.6875</v>
      </c>
      <c r="D7" s="598">
        <v>37649.68</v>
      </c>
      <c r="E7" s="600">
        <f>C7-D7</f>
        <v>0.007499999999708962</v>
      </c>
      <c r="F7" s="595"/>
    </row>
    <row r="8" spans="1:6" ht="45">
      <c r="A8" s="599" t="s">
        <v>604</v>
      </c>
      <c r="B8" s="612" t="s">
        <v>170</v>
      </c>
      <c r="C8" s="609">
        <f>397500*0.85</f>
        <v>337875</v>
      </c>
      <c r="D8" s="598">
        <v>337874.99</v>
      </c>
      <c r="E8" s="600">
        <f>C8-D8</f>
        <v>0.010000000009313226</v>
      </c>
      <c r="F8" s="595"/>
    </row>
    <row r="9" spans="1:5" ht="45">
      <c r="A9" s="599" t="s">
        <v>605</v>
      </c>
      <c r="B9" s="612" t="s">
        <v>288</v>
      </c>
      <c r="C9" s="609">
        <v>259239.57</v>
      </c>
      <c r="D9" s="598">
        <v>259239.57</v>
      </c>
      <c r="E9" s="600">
        <f>C9-D9</f>
        <v>0</v>
      </c>
    </row>
    <row r="10" spans="1:5" ht="45">
      <c r="A10" s="599" t="s">
        <v>606</v>
      </c>
      <c r="B10" s="612" t="s">
        <v>173</v>
      </c>
      <c r="C10" s="609">
        <v>225882.28</v>
      </c>
      <c r="D10" s="598">
        <v>186679.77</v>
      </c>
      <c r="E10" s="600">
        <f>C10-D10</f>
        <v>39202.51000000001</v>
      </c>
    </row>
    <row r="11" spans="1:5" ht="45.75" thickBot="1">
      <c r="A11" s="601" t="s">
        <v>607</v>
      </c>
      <c r="B11" s="613" t="s">
        <v>366</v>
      </c>
      <c r="C11" s="610">
        <v>910378.05</v>
      </c>
      <c r="D11" s="602">
        <v>751432.9</v>
      </c>
      <c r="E11" s="603">
        <f>C11-D11</f>
        <v>158945.15000000002</v>
      </c>
    </row>
    <row r="12" spans="1:5" s="22" customFormat="1" ht="15.75" thickBot="1">
      <c r="A12" s="1134" t="s">
        <v>211</v>
      </c>
      <c r="B12" s="1135"/>
      <c r="C12" s="614">
        <f>SUM(C6:C11)</f>
        <v>2192376.8125</v>
      </c>
      <c r="D12" s="614">
        <f>SUM(D6:D11)</f>
        <v>1966099.65</v>
      </c>
      <c r="E12" s="615">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56. zasedání Rady Karlovarského kraje, které se uskutečnilo dne 25.09.2017 (k bodu č. 6)</dc:title>
  <dc:subject/>
  <dc:creator/>
  <cp:keywords/>
  <dc:description/>
  <cp:lastModifiedBy/>
  <dcterms:created xsi:type="dcterms:W3CDTF">2006-09-16T00:00:00Z</dcterms:created>
  <dcterms:modified xsi:type="dcterms:W3CDTF">2017-09-19T09:07:37Z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