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19"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O18" i="1" l="1"/>
  <c r="M66" i="1" l="1"/>
  <c r="Q66" i="1" s="1"/>
  <c r="P66" i="1" l="1"/>
  <c r="Q104" i="8"/>
  <c r="P104" i="8"/>
  <c r="Q103" i="8"/>
  <c r="P103" i="8"/>
  <c r="L17" i="1" l="1"/>
  <c r="M20" i="1"/>
  <c r="P20" i="1" s="1"/>
  <c r="M22" i="1"/>
  <c r="P22" i="1" s="1"/>
  <c r="Q22" i="1" l="1"/>
  <c r="N112" i="8"/>
  <c r="N111" i="8"/>
  <c r="D12" i="13" l="1"/>
  <c r="E9" i="13" l="1"/>
  <c r="E10" i="13"/>
  <c r="E11" i="13"/>
  <c r="C8" i="13" l="1"/>
  <c r="E8" i="13" s="1"/>
  <c r="C7" i="13"/>
  <c r="E7" i="13" s="1"/>
  <c r="C6" i="13"/>
  <c r="C12" i="13" l="1"/>
  <c r="E6" i="13"/>
  <c r="E12" i="13" s="1"/>
  <c r="N69" i="1"/>
  <c r="G67" i="1"/>
  <c r="Q65" i="1"/>
  <c r="P65" i="1"/>
  <c r="M64" i="1"/>
  <c r="Q64" i="1" s="1"/>
  <c r="M63" i="1"/>
  <c r="P63" i="1" s="1"/>
  <c r="M62" i="1"/>
  <c r="Q62" i="1" s="1"/>
  <c r="M60" i="1"/>
  <c r="P60" i="1" s="1"/>
  <c r="O59" i="1"/>
  <c r="M59" i="1" s="1"/>
  <c r="Q59" i="1" s="1"/>
  <c r="Q58" i="1"/>
  <c r="P58" i="1"/>
  <c r="T57" i="1"/>
  <c r="S57" i="1" s="1"/>
  <c r="Q57" i="1"/>
  <c r="P57" i="1"/>
  <c r="M56" i="1"/>
  <c r="T56" i="1" s="1"/>
  <c r="S56" i="1" s="1"/>
  <c r="M55" i="1"/>
  <c r="P55" i="1" s="1"/>
  <c r="T54" i="1"/>
  <c r="S54" i="1" s="1"/>
  <c r="Q54" i="1"/>
  <c r="P54" i="1"/>
  <c r="T52" i="1"/>
  <c r="S52" i="1" s="1"/>
  <c r="Q52" i="1"/>
  <c r="P52" i="1"/>
  <c r="O52" i="1"/>
  <c r="N51" i="1"/>
  <c r="M51" i="1"/>
  <c r="Q51" i="1" s="1"/>
  <c r="M50" i="1"/>
  <c r="T50" i="1" s="1"/>
  <c r="S50" i="1" s="1"/>
  <c r="M49" i="1"/>
  <c r="T49" i="1" s="1"/>
  <c r="S49" i="1" s="1"/>
  <c r="T48" i="1"/>
  <c r="S48" i="1"/>
  <c r="P48" i="1"/>
  <c r="T47" i="1"/>
  <c r="S47" i="1" s="1"/>
  <c r="P47" i="1"/>
  <c r="M46" i="1"/>
  <c r="P46" i="1" s="1"/>
  <c r="M45" i="1"/>
  <c r="Q45" i="1" s="1"/>
  <c r="T43" i="1"/>
  <c r="S43" i="1" s="1"/>
  <c r="M42" i="1"/>
  <c r="P42" i="1" s="1"/>
  <c r="M41" i="1"/>
  <c r="M40" i="1"/>
  <c r="P40" i="1" s="1"/>
  <c r="M39" i="1"/>
  <c r="T39" i="1" s="1"/>
  <c r="S39" i="1" s="1"/>
  <c r="T38" i="1"/>
  <c r="S38" i="1" s="1"/>
  <c r="T37" i="1"/>
  <c r="S37" i="1" s="1"/>
  <c r="Q37" i="1"/>
  <c r="P37" i="1"/>
  <c r="P36" i="1"/>
  <c r="M35" i="1"/>
  <c r="Q35" i="1" s="1"/>
  <c r="M34" i="1"/>
  <c r="P34" i="1" s="1"/>
  <c r="M33" i="1"/>
  <c r="Q33" i="1" s="1"/>
  <c r="L33" i="1"/>
  <c r="T32" i="1"/>
  <c r="S32" i="1" s="1"/>
  <c r="N31" i="1"/>
  <c r="M31" i="1" s="1"/>
  <c r="Q31" i="1" s="1"/>
  <c r="L31" i="1"/>
  <c r="T30" i="1"/>
  <c r="S30" i="1" s="1"/>
  <c r="M29" i="1"/>
  <c r="P29" i="1" s="1"/>
  <c r="M28" i="1"/>
  <c r="T28" i="1" s="1"/>
  <c r="S28" i="1" s="1"/>
  <c r="M27" i="1"/>
  <c r="T27" i="1" s="1"/>
  <c r="S27" i="1" s="1"/>
  <c r="M26" i="1"/>
  <c r="T26" i="1" s="1"/>
  <c r="S26" i="1" s="1"/>
  <c r="M25" i="1"/>
  <c r="T25" i="1" s="1"/>
  <c r="S25" i="1" s="1"/>
  <c r="M24" i="1"/>
  <c r="T24" i="1" s="1"/>
  <c r="S24" i="1" s="1"/>
  <c r="M23" i="1"/>
  <c r="P23" i="1" s="1"/>
  <c r="M21" i="1"/>
  <c r="T21" i="1" s="1"/>
  <c r="S21" i="1" s="1"/>
  <c r="Q20" i="1"/>
  <c r="M19" i="1"/>
  <c r="Q19" i="1" s="1"/>
  <c r="L19" i="1"/>
  <c r="M18" i="1"/>
  <c r="Q18" i="1" s="1"/>
  <c r="L18" i="1"/>
  <c r="L67" i="1" s="1"/>
  <c r="O17" i="1"/>
  <c r="M17" i="1" s="1"/>
  <c r="M16" i="1"/>
  <c r="T16" i="1" s="1"/>
  <c r="S16" i="1" s="1"/>
  <c r="M15" i="1"/>
  <c r="T15" i="1" s="1"/>
  <c r="S15" i="1" s="1"/>
  <c r="M14" i="1"/>
  <c r="P14" i="1" s="1"/>
  <c r="M13" i="1"/>
  <c r="P13" i="1" s="1"/>
  <c r="O12" i="1"/>
  <c r="M12" i="1" s="1"/>
  <c r="M11" i="1"/>
  <c r="T11" i="1" s="1"/>
  <c r="S11" i="1" s="1"/>
  <c r="N9" i="1"/>
  <c r="M8" i="1"/>
  <c r="P8" i="1" s="1"/>
  <c r="T7" i="1"/>
  <c r="S7" i="1" s="1"/>
  <c r="P7" i="1"/>
  <c r="M6" i="1"/>
  <c r="T6" i="1" s="1"/>
  <c r="S6" i="1" s="1"/>
  <c r="M5" i="1"/>
  <c r="P5" i="1" s="1"/>
  <c r="N67" i="1" l="1"/>
  <c r="N68" i="1" s="1"/>
  <c r="T41" i="1"/>
  <c r="S41" i="1" s="1"/>
  <c r="D8" i="11"/>
  <c r="Q63" i="1"/>
  <c r="T19" i="1"/>
  <c r="S19" i="1" s="1"/>
  <c r="P15" i="1"/>
  <c r="Q47" i="1"/>
  <c r="P25" i="1"/>
  <c r="T55" i="1"/>
  <c r="S55" i="1" s="1"/>
  <c r="P21" i="1"/>
  <c r="P24" i="1"/>
  <c r="Q29" i="1"/>
  <c r="Q34" i="1"/>
  <c r="P45" i="1"/>
  <c r="P6" i="1"/>
  <c r="P11" i="1"/>
  <c r="Q21" i="1"/>
  <c r="P31" i="1"/>
  <c r="Q42" i="1"/>
  <c r="P51" i="1"/>
  <c r="P56" i="1"/>
  <c r="P62" i="1"/>
  <c r="P64" i="1"/>
  <c r="P16" i="1"/>
  <c r="T31" i="1"/>
  <c r="S31" i="1" s="1"/>
  <c r="P33" i="1"/>
  <c r="P35" i="1"/>
  <c r="Q40" i="1"/>
  <c r="Q56" i="1"/>
  <c r="P12" i="1"/>
  <c r="T12" i="1"/>
  <c r="S12" i="1" s="1"/>
  <c r="P17" i="1"/>
  <c r="Q17" i="1"/>
  <c r="T8" i="1"/>
  <c r="S8" i="1" s="1"/>
  <c r="T14" i="1"/>
  <c r="S14" i="1" s="1"/>
  <c r="T23" i="1"/>
  <c r="S23" i="1" s="1"/>
  <c r="Q5" i="1"/>
  <c r="Q8" i="1"/>
  <c r="Q14" i="1"/>
  <c r="P18" i="1"/>
  <c r="P19" i="1"/>
  <c r="Q23" i="1"/>
  <c r="T29" i="1"/>
  <c r="S29" i="1" s="1"/>
  <c r="T34" i="1"/>
  <c r="S34" i="1" s="1"/>
  <c r="T40" i="1"/>
  <c r="S40" i="1" s="1"/>
  <c r="T42" i="1"/>
  <c r="S42" i="1" s="1"/>
  <c r="Q46" i="1"/>
  <c r="P59" i="1"/>
  <c r="Q60" i="1"/>
  <c r="O67" i="1"/>
  <c r="T13" i="1"/>
  <c r="S13" i="1" s="1"/>
  <c r="Q16" i="1"/>
  <c r="Q25" i="1"/>
  <c r="P26" i="1"/>
  <c r="P27" i="1"/>
  <c r="P28" i="1"/>
  <c r="T35" i="1"/>
  <c r="S35" i="1" s="1"/>
  <c r="P49" i="1"/>
  <c r="P50" i="1"/>
  <c r="T51" i="1"/>
  <c r="S51" i="1" s="1"/>
  <c r="T5" i="1"/>
  <c r="S5" i="1" s="1"/>
  <c r="M9" i="1"/>
  <c r="M67" i="1" s="1"/>
  <c r="F8" i="11" l="1"/>
  <c r="O69" i="1"/>
  <c r="G8" i="11"/>
  <c r="Q9" i="1"/>
  <c r="P9" i="1"/>
  <c r="T10" i="1"/>
  <c r="S10" i="1" s="1"/>
  <c r="E8" i="11"/>
  <c r="Q67" i="1" l="1"/>
  <c r="P67" i="1"/>
  <c r="T67" i="1"/>
  <c r="S67" i="1" s="1"/>
  <c r="E18" i="11"/>
  <c r="Q102" i="8" l="1"/>
  <c r="P102" i="8"/>
  <c r="T91" i="8"/>
  <c r="S91" i="8" s="1"/>
  <c r="Q39" i="8" l="1"/>
  <c r="Q33" i="8"/>
  <c r="Q23" i="8"/>
  <c r="M97" i="8" l="1"/>
  <c r="P97" i="8" l="1"/>
  <c r="Q97" i="8"/>
  <c r="G110" i="8"/>
  <c r="Q109" i="8"/>
  <c r="Q108" i="8"/>
  <c r="Q107" i="8"/>
  <c r="Q106" i="8"/>
  <c r="Q105" i="8"/>
  <c r="Q99" i="8"/>
  <c r="E17" i="11" l="1"/>
  <c r="T98" i="8"/>
  <c r="S98" i="8" s="1"/>
  <c r="T97" i="8"/>
  <c r="S97" i="8" s="1"/>
  <c r="M94" i="8"/>
  <c r="Q94" i="8" s="1"/>
  <c r="P94" i="8" l="1"/>
  <c r="E20" i="11"/>
  <c r="T92" i="8" l="1"/>
  <c r="S92" i="8" s="1"/>
  <c r="P39" i="8" l="1"/>
  <c r="P33" i="8"/>
  <c r="P23" i="8"/>
  <c r="O110" i="8"/>
  <c r="E19" i="11" s="1"/>
  <c r="N110" i="8"/>
  <c r="L110" i="8"/>
  <c r="P109" i="8"/>
  <c r="T109" i="8"/>
  <c r="S109" i="8" s="1"/>
  <c r="P108" i="8"/>
  <c r="T108" i="8"/>
  <c r="S108" i="8" s="1"/>
  <c r="P107" i="8"/>
  <c r="T107" i="8"/>
  <c r="S107" i="8" s="1"/>
  <c r="M37" i="8" l="1"/>
  <c r="M38" i="8"/>
  <c r="P37" i="8" l="1"/>
  <c r="Q65" i="8"/>
  <c r="P69" i="8"/>
  <c r="P106" i="8" l="1"/>
  <c r="T106" i="8"/>
  <c r="S106" i="8" s="1"/>
  <c r="P105" i="8"/>
  <c r="T105" i="8"/>
  <c r="S105" i="8" s="1"/>
  <c r="P99" i="8" l="1"/>
  <c r="T99" i="8"/>
  <c r="S99" i="8" s="1"/>
  <c r="Q83" i="8" l="1"/>
  <c r="Q82" i="8"/>
  <c r="P83" i="8"/>
  <c r="T83" i="8"/>
  <c r="S83" i="8" s="1"/>
  <c r="M93" i="8" l="1"/>
  <c r="Q95" i="8" l="1"/>
  <c r="T96" i="8"/>
  <c r="S96" i="8" s="1"/>
  <c r="P96" i="8"/>
  <c r="P67" i="8"/>
  <c r="P74" i="8" l="1"/>
  <c r="Q85" i="8" l="1"/>
  <c r="P90" i="8"/>
  <c r="T90" i="8"/>
  <c r="S90" i="8" s="1"/>
  <c r="P14" i="8" l="1"/>
  <c r="T56" i="8" l="1"/>
  <c r="S56" i="8" s="1"/>
  <c r="T61" i="8"/>
  <c r="S61" i="8" s="1"/>
  <c r="T65" i="8"/>
  <c r="S65" i="8" s="1"/>
  <c r="T82" i="8"/>
  <c r="S82" i="8" s="1"/>
  <c r="T84" i="8"/>
  <c r="S84" i="8" s="1"/>
  <c r="T85" i="8"/>
  <c r="S85" i="8" s="1"/>
  <c r="T86" i="8"/>
  <c r="S86" i="8" s="1"/>
  <c r="T87" i="8"/>
  <c r="S87" i="8" s="1"/>
  <c r="T88" i="8"/>
  <c r="S88" i="8" s="1"/>
  <c r="T89" i="8"/>
  <c r="S89" i="8" s="1"/>
  <c r="T95" i="8"/>
  <c r="S95" i="8" s="1"/>
  <c r="T53" i="8"/>
  <c r="S53" i="8" s="1"/>
  <c r="T51" i="8"/>
  <c r="S51" i="8" s="1"/>
  <c r="T47" i="8"/>
  <c r="S47" i="8" s="1"/>
  <c r="T45" i="8"/>
  <c r="S45" i="8" s="1"/>
  <c r="T18" i="8"/>
  <c r="S18" i="8" s="1"/>
  <c r="C7" i="11" l="1"/>
  <c r="P45" i="8" l="1"/>
  <c r="P93" i="8" l="1"/>
  <c r="T93" i="8"/>
  <c r="S93" i="8" s="1"/>
  <c r="Q93" i="8"/>
  <c r="P47" i="8" l="1"/>
  <c r="O112" i="8" l="1"/>
  <c r="P89" i="8" l="1"/>
  <c r="P95" i="8" l="1"/>
  <c r="P84" i="8"/>
  <c r="P86" i="8" l="1"/>
  <c r="P87" i="8"/>
  <c r="P88" i="8"/>
  <c r="P85" i="8" l="1"/>
  <c r="Q84" i="8" l="1"/>
  <c r="P82" i="8"/>
  <c r="T8" i="8" l="1"/>
  <c r="S8" i="8" s="1"/>
  <c r="T6" i="8"/>
  <c r="S6" i="8" s="1"/>
  <c r="M77" i="8" l="1"/>
  <c r="M63" i="8"/>
  <c r="T77" i="8" l="1"/>
  <c r="S77" i="8" s="1"/>
  <c r="P77" i="8"/>
  <c r="Q77" i="8"/>
  <c r="P63" i="8"/>
  <c r="T63" i="8"/>
  <c r="S63" i="8" s="1"/>
  <c r="P6" i="8"/>
  <c r="M5" i="8"/>
  <c r="P5" i="8" l="1"/>
  <c r="T5" i="8"/>
  <c r="S5" i="8" s="1"/>
  <c r="Q5" i="8"/>
  <c r="P8" i="8"/>
  <c r="F7" i="11" l="1"/>
  <c r="H9" i="11" l="1"/>
  <c r="M81" i="8" l="1"/>
  <c r="M80" i="8"/>
  <c r="T80" i="8" s="1"/>
  <c r="S80" i="8" s="1"/>
  <c r="M79" i="8"/>
  <c r="M78" i="8"/>
  <c r="T78" i="8" s="1"/>
  <c r="S78" i="8" s="1"/>
  <c r="M76" i="8"/>
  <c r="T76" i="8" s="1"/>
  <c r="S76" i="8" s="1"/>
  <c r="M73" i="8"/>
  <c r="M72" i="8"/>
  <c r="T72" i="8" s="1"/>
  <c r="S72" i="8" s="1"/>
  <c r="M71" i="8"/>
  <c r="T71" i="8" s="1"/>
  <c r="S71" i="8" s="1"/>
  <c r="M70" i="8"/>
  <c r="T70" i="8" s="1"/>
  <c r="S70" i="8" s="1"/>
  <c r="M64" i="8"/>
  <c r="T64" i="8" s="1"/>
  <c r="S64" i="8" s="1"/>
  <c r="M62" i="8"/>
  <c r="Q62" i="8" s="1"/>
  <c r="M60" i="8"/>
  <c r="M58" i="8"/>
  <c r="P57" i="8" s="1"/>
  <c r="P56" i="8"/>
  <c r="M55" i="8"/>
  <c r="M54" i="8"/>
  <c r="T52" i="8"/>
  <c r="S52" i="8" s="1"/>
  <c r="T50" i="8"/>
  <c r="S50" i="8" s="1"/>
  <c r="M48" i="8"/>
  <c r="M46" i="8"/>
  <c r="M42" i="8"/>
  <c r="M41" i="8"/>
  <c r="T41" i="8" s="1"/>
  <c r="S41" i="8" s="1"/>
  <c r="M40" i="8"/>
  <c r="T40" i="8" s="1"/>
  <c r="S40" i="8" s="1"/>
  <c r="M34" i="8"/>
  <c r="M32" i="8"/>
  <c r="M29" i="8"/>
  <c r="M28" i="8"/>
  <c r="M27" i="8"/>
  <c r="M26" i="8"/>
  <c r="M25" i="8"/>
  <c r="M24" i="8"/>
  <c r="T24" i="8" s="1"/>
  <c r="S24" i="8" s="1"/>
  <c r="M22" i="8"/>
  <c r="M21" i="8"/>
  <c r="M17" i="8"/>
  <c r="T17" i="8" s="1"/>
  <c r="S17" i="8" s="1"/>
  <c r="M16" i="8"/>
  <c r="M15" i="8"/>
  <c r="T15" i="8" s="1"/>
  <c r="S15" i="8" s="1"/>
  <c r="M13" i="8"/>
  <c r="M12" i="8"/>
  <c r="M11" i="8"/>
  <c r="M10" i="8"/>
  <c r="Q54" i="8" l="1"/>
  <c r="M110" i="8"/>
  <c r="T34" i="8"/>
  <c r="S34" i="8" s="1"/>
  <c r="Q34" i="8"/>
  <c r="T10" i="8"/>
  <c r="S10" i="8" s="1"/>
  <c r="Q10" i="8"/>
  <c r="T73" i="8"/>
  <c r="S73" i="8" s="1"/>
  <c r="Q73" i="8"/>
  <c r="P20" i="8"/>
  <c r="T20" i="8"/>
  <c r="S20" i="8" s="1"/>
  <c r="P22" i="8"/>
  <c r="T22" i="8"/>
  <c r="S22" i="8" s="1"/>
  <c r="P25" i="8"/>
  <c r="T25" i="8"/>
  <c r="S25" i="8" s="1"/>
  <c r="P27" i="8"/>
  <c r="T27" i="8"/>
  <c r="S27" i="8" s="1"/>
  <c r="P29" i="8"/>
  <c r="T29" i="8"/>
  <c r="S29" i="8" s="1"/>
  <c r="P31" i="8"/>
  <c r="T31" i="8"/>
  <c r="S31" i="8" s="1"/>
  <c r="P36" i="8"/>
  <c r="T36" i="8"/>
  <c r="S36" i="8" s="1"/>
  <c r="T42" i="8"/>
  <c r="S42" i="8" s="1"/>
  <c r="Q42" i="8"/>
  <c r="P48" i="8"/>
  <c r="T48" i="8"/>
  <c r="S48" i="8" s="1"/>
  <c r="P60" i="8"/>
  <c r="T60" i="8"/>
  <c r="S60" i="8" s="1"/>
  <c r="P12" i="8"/>
  <c r="T12" i="8"/>
  <c r="S12" i="8" s="1"/>
  <c r="P11" i="8"/>
  <c r="T11" i="8"/>
  <c r="S11" i="8" s="1"/>
  <c r="P13" i="8"/>
  <c r="T13" i="8"/>
  <c r="S13" i="8" s="1"/>
  <c r="P16" i="8"/>
  <c r="T16" i="8"/>
  <c r="S16" i="8" s="1"/>
  <c r="P19" i="8"/>
  <c r="T19" i="8"/>
  <c r="S19" i="8" s="1"/>
  <c r="P21" i="8"/>
  <c r="T21" i="8"/>
  <c r="S21" i="8" s="1"/>
  <c r="P26" i="8"/>
  <c r="T26" i="8"/>
  <c r="S26" i="8" s="1"/>
  <c r="P28" i="8"/>
  <c r="T28" i="8"/>
  <c r="S28" i="8" s="1"/>
  <c r="P30" i="8"/>
  <c r="T30" i="8"/>
  <c r="S30" i="8" s="1"/>
  <c r="P32" i="8"/>
  <c r="T32" i="8"/>
  <c r="S32" i="8" s="1"/>
  <c r="P35" i="8"/>
  <c r="T35" i="8"/>
  <c r="S35" i="8" s="1"/>
  <c r="T37" i="8"/>
  <c r="S37" i="8" s="1"/>
  <c r="Q46" i="8"/>
  <c r="T46" i="8"/>
  <c r="S46" i="8" s="1"/>
  <c r="T54" i="8"/>
  <c r="S54" i="8" s="1"/>
  <c r="P55" i="8"/>
  <c r="T55" i="8"/>
  <c r="S55" i="8" s="1"/>
  <c r="T58" i="8"/>
  <c r="S58" i="8" s="1"/>
  <c r="T62" i="8"/>
  <c r="S62" i="8" s="1"/>
  <c r="P79" i="8"/>
  <c r="T79" i="8"/>
  <c r="S79" i="8" s="1"/>
  <c r="P81" i="8"/>
  <c r="T81" i="8"/>
  <c r="S81" i="8" s="1"/>
  <c r="P17" i="8"/>
  <c r="C8" i="11"/>
  <c r="C10" i="11" s="1"/>
  <c r="P46" i="8"/>
  <c r="P54" i="8"/>
  <c r="P50" i="8"/>
  <c r="Q50" i="8"/>
  <c r="P62" i="8"/>
  <c r="Q71" i="8"/>
  <c r="P71" i="8"/>
  <c r="Q78" i="8"/>
  <c r="P78" i="8"/>
  <c r="P10" i="8"/>
  <c r="P15" i="8"/>
  <c r="Q15" i="8"/>
  <c r="Q24" i="8"/>
  <c r="P24" i="8"/>
  <c r="P65" i="8"/>
  <c r="P73" i="8"/>
  <c r="Q80" i="8"/>
  <c r="P80" i="8"/>
  <c r="Q41" i="8"/>
  <c r="P41" i="8"/>
  <c r="P42" i="8"/>
  <c r="P52" i="8"/>
  <c r="Q52" i="8"/>
  <c r="Q64" i="8"/>
  <c r="P64" i="8"/>
  <c r="Q72" i="8"/>
  <c r="P72" i="8"/>
  <c r="P34" i="8"/>
  <c r="Q40" i="8"/>
  <c r="P40" i="8"/>
  <c r="Q70" i="8"/>
  <c r="P70" i="8"/>
  <c r="P76" i="8"/>
  <c r="Q76" i="8"/>
  <c r="T110" i="8" l="1"/>
  <c r="S110" i="8" s="1"/>
  <c r="E7" i="11"/>
  <c r="E16" i="11" s="1"/>
  <c r="Q110" i="8"/>
  <c r="E10" i="11" l="1"/>
  <c r="E21" i="11" s="1"/>
  <c r="F10" i="11"/>
  <c r="G7" i="11"/>
  <c r="D7" i="11"/>
  <c r="G10" i="11" l="1"/>
  <c r="I8" i="11"/>
  <c r="H8" i="11"/>
  <c r="D10" i="11"/>
  <c r="P110" i="8"/>
  <c r="H7" i="11" l="1"/>
  <c r="I7" i="11"/>
  <c r="I10" i="11" l="1"/>
  <c r="H10" i="1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<sst xmlns="http://schemas.openxmlformats.org/spreadsheetml/2006/main" count="1250" uniqueCount="710">
  <si>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</si>
  <si>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</si>
  <si>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</si>
  <si>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</si>
  <si>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</si>
  <si>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</si>
  <si>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</si>
  <si>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</si>
  <si>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</si>
  <si>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</si>
  <si>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</si>
  <si>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</si>
  <si>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</si>
  <si>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</si>
  <si>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</si>
  <si>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</si>
  <si>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</si>
  <si>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</si>
  <si>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</si>
  <si>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</si>
  <si>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</si>
  <si>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</si>
  <si>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</si>
  <si>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</si>
  <si>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</si>
  <si>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</si>
  <si>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</si>
  <si>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</si>
  <si>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</si>
  <si>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</si>
  <si>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</si>
  <si>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</si>
  <si>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</si>
  <si>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</si>
  <si>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</si>
  <si>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</si>
  <si>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</si>
  <si>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</si>
  <si>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</si>
  <si>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</si>
  <si>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</si>
  <si>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</si>
  <si>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</si>
  <si>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</si>
  <si>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</si>
  <si>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</si>
  <si>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</si>
  <si>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</si>
  <si>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</si>
  <si>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</si>
  <si>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</si>
  <si>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</si>
  <si>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</si>
  <si>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</si>
  <si>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</si>
  <si>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</si>
  <si>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</si>
  <si>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</si>
  <si>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</si>
  <si>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</si>
  <si>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</si>
  <si>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</si>
  <si>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</si>
  <si>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</si>
  <si>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</si>
  <si>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</si>
  <si>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</si>
  <si>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</si>
  <si>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</si>
  <si>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</si>
  <si>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</si>
  <si>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</si>
  <si>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</si>
  <si>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</si>
  <si>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</si>
  <si>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</si>
  <si>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</si>
  <si>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</si>
  <si>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</si>
  <si>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</si>
  <si>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</si>
  <si>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</si>
  <si>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</si>
  <si>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</si>
  <si>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</si>
  <si>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</si>
  <si>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</si>
  <si>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</si>
  <si>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</si>
  <si>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</si>
  <si>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</si>
  <si>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</si>
  <si>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</si>
  <si>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</si>
  <si>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</si>
  <si>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</si>
  <si>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</si>
  <si>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</si>
  <si>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</si>
  <si>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</si>
  <si>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</si>
  <si>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</si>
  <si>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</si>
  <si>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</si>
  <si>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</si>
  <si>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</si>
  <si>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</si>
  <si>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</si>
  <si>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</si>
  <si>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</si>
  <si>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</si>
  <si>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</si>
  <si>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</si>
  <si>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</si>
  <si>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</si>
  <si>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</si>
  <si>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</si>
  <si>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</si>
  <si>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</si>
  <si>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</si>
  <si>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</si>
  <si>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</si>
  <si>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</si>
  <si>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</si>
  <si>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</si>
  <si>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</si>
  <si>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</si>
  <si>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</si>
  <si>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</si>
  <si>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</si>
  <si>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</si>
  <si>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</si>
  <si>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</si>
  <si>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</si>
  <si>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</si>
  <si>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</si>
  <si>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</si>
  <si>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</si>
  <si>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výši pokuty nelze předvídat</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</si>
  <si>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</si>
  <si>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</si>
  <si>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</si>
  <si>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</si>
  <si>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</si>
  <si>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</si>
  <si>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</si>
  <si>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</si>
  <si>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</si>
  <si>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</si>
  <si>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</si>
  <si>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</si>
  <si>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</si>
  <si>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</si>
  <si>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</si>
  <si>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</si>
  <si>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</si>
  <si>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</si>
  <si>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</si>
  <si>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</si>
  <si>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</si>
  <si>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</si>
  <si>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</si>
  <si>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</si>
  <si>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</si>
  <si>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</si>
  <si>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</si>
  <si>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</si>
  <si>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</si>
  <si>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</si>
  <si>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</si>
  <si>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</si>
  <si>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</si>
  <si>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</si>
  <si>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</si>
  <si>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</si>
  <si>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</si>
  <si>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</si>
  <si>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</si>
  <si>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</si>
  <si>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</si>
  <si>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</si>
  <si>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</si>
  <si>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</si>
  <si>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</si>
  <si>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</si>
  <si>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</si>
  <si>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</si>
  <si>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</si>
  <si>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</si>
  <si>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</si>
  <si>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</si>
  <si>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</si>
  <si>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</si>
  <si>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</si>
  <si>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</si>
  <si>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</si>
  <si>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</si>
  <si>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</si>
  <si>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</si>
  <si>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</si>
  <si>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</si>
  <si>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</si>
  <si>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</si>
  <si>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</si>
  <si>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</si>
  <si>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</si>
  <si>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</si>
  <si>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</si>
  <si>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</si>
  <si>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</si>
  <si>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</si>
  <si>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</si>
  <si>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</si>
  <si>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</si>
  <si>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</si>
  <si>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</si>
  <si>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</si>
  <si>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</si>
  <si>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</si>
  <si>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</si>
  <si>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</si>
  <si>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</si>
  <si>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</si>
  <si>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</si>
  <si>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</si>
  <si>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</si>
  <si>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</si>
  <si>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</si>
  <si>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</si>
  <si>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</si>
  <si>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</si>
  <si>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</si>
  <si>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</si>
  <si>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</si>
  <si>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</si>
  <si>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</si>
  <si>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</si>
  <si>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</si>
  <si>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</si>
  <si>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</si>
  <si>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</si>
  <si>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</si>
  <si>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</si>
  <si>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</si>
  <si>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</si>
  <si>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</si>
  <si>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</si>
  <si>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</si>
  <si>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</si>
  <si>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</si>
  <si>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</si>
  <si>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</si>
  <si>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</si>
  <si>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</si>
  <si>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</si>
  <si>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</si>
  <si>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</si>
  <si>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</si>
  <si>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</si>
  <si>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</si>
  <si>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</si>
  <si>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</si>
  <si>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</si>
  <si>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</si>
  <si>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</si>
  <si>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</si>
  <si>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</si>
  <si>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</si>
  <si>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</si>
  <si>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</si>
  <si>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</si>
  <si>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</si>
  <si>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</si>
  <si>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</si>
  <si>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</si>
  <si>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</si>
  <si>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</si>
  <si>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</si>
  <si>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</si>
  <si>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</si>
  <si>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</si>
  <si>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</si>
  <si>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</si>
  <si>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</si>
  <si>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</si>
  <si>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</si>
  <si>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</si>
  <si>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</si>
  <si>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</si>
  <si>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</si>
  <si>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</si>
  <si>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</si>
  <si>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</si>
  <si>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</si>
  <si>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</si>
  <si>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</si>
  <si>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</si>
  <si>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</si>
  <si>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</si>
  <si>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</si>
  <si>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</si>
  <si>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</si>
  <si>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</si>
  <si>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</si>
  <si>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</si>
  <si>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</si>
  <si>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</si>
  <si>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</si>
  <si>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</si>
  <si>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</si>
  <si>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</si>
  <si>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</si>
  <si>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</si>
  <si>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</si>
  <si>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</si>
  <si>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</si>
  <si>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</si>
  <si>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</si>
  <si>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</si>
  <si>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</si>
  <si>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</si>
  <si>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</si>
  <si>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</si>
  <si>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</si>
  <si>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</si>
  <si>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</si>
  <si>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</si>
  <si>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</si>
  <si>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</si>
  <si>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</si>
  <si>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</si>
  <si>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</si>
  <si>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</si>
  <si>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</si>
  <si>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</si>
  <si>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</si>
  <si>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</si>
  <si>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</si>
  <si>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</si>
  <si>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</si>
  <si>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</si>
  <si>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</si>
  <si>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</si>
  <si>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</si>
  <si>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</si>
  <si>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</si>
  <si>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</si>
  <si>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</si>
  <si>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</si>
  <si>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</si>
  <si>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</si>
  <si>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</si>
  <si>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</si>
  <si>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</si>
  <si>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</si>
  <si>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</si>
  <si>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</si>
  <si>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</si>
  <si>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</si>
  <si>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</si>
  <si>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</si>
  <si>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</si>
  <si>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</si>
  <si>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</si>
  <si>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</si>
  <si>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</si>
  <si>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</si>
  <si>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</si>
  <si>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</si>
  <si>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</si>
  <si>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</si>
  <si>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</si>
  <si>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</si>
  <si>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</si>
  <si>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</si>
  <si>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</si>
  <si>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</si>
  <si>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</si>
  <si>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</si>
  <si>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</si>
  <si>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</si>
  <si>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</si>
  <si>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</si>
  <si>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</si>
  <si>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</si>
  <si>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</si>
  <si>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</si>
  <si>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</si>
  <si>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</si>
  <si>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</si>
  <si>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</si>
  <si>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</si>
  <si>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</si>
  <si>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</si>
  <si>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</si>
  <si>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</si>
  <si>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</si>
  <si>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</si>
  <si>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</si>
  <si>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</si>
  <si>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</si>
  <si>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</si>
  <si>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</si>
  <si>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</si>
  <si>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</si>
  <si>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</si>
  <si>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</si>
  <si>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</si>
  <si>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</si>
  <si>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</si>
  <si>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</si>
  <si>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</si>
  <si>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</si>
  <si>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</si>
  <si>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</si>
  <si>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</si>
  <si>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</si>
  <si>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</si>
  <si>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</si>
  <si>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</si>
  <si>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</si>
  <si>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</si>
  <si>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</si>
  <si>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</si>
  <si>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</si>
  <si>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</si>
  <si>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</si>
  <si>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</si>
  <si>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</si>
  <si>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</si>
  <si>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</si>
  <si>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</si>
  <si>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</si>
  <si>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</si>
  <si>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</si>
  <si>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</si>
  <si>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</si>
  <si>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</si>
  <si>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</si>
  <si>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</si>
  <si>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</si>
  <si>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</si>
  <si>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</si>
  <si>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</si>
  <si>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</si>
  <si>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</si>
  <si>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</si>
  <si>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</si>
  <si>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</si>
  <si>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</si>
  <si>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</si>
  <si>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</si>
  <si>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</si>
  <si>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</si>
  <si>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</si>
  <si>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</si>
  <si>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</si>
  <si>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</si>
  <si>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</si>
  <si>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</si>
  <si>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</si>
  <si>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</si>
  <si>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</si>
  <si>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</si>
  <si>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theme="3" tint="0.39997558519241921"/>
        <rFont val="Calibri"/>
        <family val="2"/>
        <charset val="238"/>
        <scheme val="minor"/>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</si>
  <si>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</si>
  <si>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</si>
  <si>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</si>
  <si>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</si>
  <si>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</si>
  <si>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</si>
  <si>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</si>
  <si>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</si>
  <si>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</si>
  <si>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</si>
  <si>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</si>
  <si>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</si>
  <si>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</si>
  <si>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</si>
  <si>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</si>
  <si>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</si>
  <si>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</si>
  <si>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</si>
  <si>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</si>
  <si>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</si>
  <si>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</si>
  <si>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</si>
  <si>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</si>
  <si>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</si>
  <si>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</si>
  <si>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</si>
  <si>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</si>
  <si>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</si>
  <si>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</si>
  <si>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</si>
  <si>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</si>
  <si>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</si>
  <si>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</si>
  <si>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</si>
  <si>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</si>
  <si>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</si>
  <si>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</si>
  <si>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</si>
  <si>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</si>
  <si>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</si>
  <si>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</si>
  <si>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</si>
  <si>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</si>
  <si>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</si>
  <si>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</si>
  <si>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</si>
  <si>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r>
    <r>
      <rPr>
        <b/>
        <sz val="16"/>
        <rFont val="Calibri"/>
        <family val="2"/>
        <charset val="238"/>
        <scheme val="minor"/>
      </rPr>
      <t xml:space="preserve">
ŽÁDOST O PROMINUTÍ ODVODU NA GENER.FIN.ŘEDITELSTVÍ</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</si>
  <si>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t>
    </r>
    <r>
      <rPr>
        <b/>
        <sz val="16"/>
        <rFont val="Calibri"/>
        <family val="2"/>
        <charset val="238"/>
        <scheme val="minor"/>
      </rPr>
      <t>ŽÁDOST O PROMINUTÍ ODVODU NA GENER.FIN.ŘEDITELSTVÍ</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</si>
  <si>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t>
    </r>
    <r>
      <rPr>
        <b/>
        <sz val="16"/>
        <rFont val="Calibri"/>
        <family val="2"/>
        <charset val="238"/>
        <scheme val="minor"/>
      </rPr>
      <t>ODVOLÁNÍ PROTI PV</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</si>
  <si>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charset val="238"/>
        <scheme val="minor"/>
      </rPr>
      <t>ODVOLÁNÍ PROTI PV</t>
    </r>
  </si>
  <si>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rgb="FFFF0000"/>
        <rFont val="Calibri"/>
        <family val="2"/>
        <charset val="238"/>
        <scheme val="minor"/>
      </rPr>
      <t xml:space="preserve"> </t>
    </r>
    <r>
      <rPr>
        <sz val="11"/>
        <rFont val="Calibri"/>
        <family val="2"/>
        <charset val="238"/>
        <scheme val="minor"/>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t>
    </r>
    <r>
      <rPr>
        <b/>
        <sz val="16"/>
        <rFont val="Calibri"/>
        <family val="2"/>
        <charset val="238"/>
        <scheme val="minor"/>
      </rPr>
      <t>ODVOLÁNÍ U ODVOLACÍHO FIN.ŘED.
ŽÁDOST O PROMINUTÍ ODVODU A DOSUD NEVYM.PENÁLE NA GENER.FIN.ŘED.</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</si>
  <si>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t>
    </r>
    <r>
      <rPr>
        <b/>
        <sz val="16"/>
        <rFont val="Calibri"/>
        <family val="2"/>
        <charset val="238"/>
        <scheme val="minor"/>
      </rPr>
      <t>ROZKLAD U ÚOHS</t>
    </r>
    <r>
      <rPr>
        <sz val="11"/>
        <rFont val="Calibri"/>
        <family val="2"/>
        <charset val="238"/>
        <scheme val="minor"/>
      </rPr>
      <t xml:space="preserve">
</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</si>
  <si>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charset val="238"/>
        <scheme val="minor"/>
      </rPr>
      <t>ODVOLÁNÍ PROTI PV NA ÚRR
ŽÁDOST O PROMINUTÍ ODVODU A DOSUD NEVYM.PENÁLE U ÚRR</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</si>
  <si>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6"/>
        <rFont val="Calibri"/>
        <family val="2"/>
        <charset val="238"/>
        <scheme val="minor"/>
      </rPr>
      <t>ODVOLÁNÍ PROTI PV U ODVOLACÍHO FIN.ŘED.
ŽÁDOST O PROMINUTÍ PENALE NA GENER.FIN.ŘED.</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</si>
  <si>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t>
    </r>
    <r>
      <rPr>
        <b/>
        <sz val="16"/>
        <rFont val="Calibri"/>
        <family val="2"/>
        <charset val="238"/>
        <scheme val="minor"/>
      </rPr>
      <t>ODVOLÁNÍ PROTI PV U ODVOLACÍHO FIN.ŘEDITELSTVÍ
ŽÁDOST O PROMINUTÍ PENÁLE NA GENER.FIN.ŘEDITELSTVÍ</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</si>
  <si>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t>
    </r>
    <r>
      <rPr>
        <b/>
        <sz val="16"/>
        <rFont val="Calibri"/>
        <family val="2"/>
        <charset val="238"/>
        <scheme val="minor"/>
      </rPr>
      <t>ODVOLÁNÍ PROTI PV U ODVOLACÍHO FIN.ŘEDITELSTVÍ
ŽÁDOST O PROMINUTÍ PENÁLE NA GENER.FIN.ŘEDITELSTVÍ</t>
    </r>
  </si>
  <si>
    <r>
      <t xml:space="preserve">oznamovacím dopisem ze dne 28.2.2013 byl projekt pozastaven z důvodů šetření nesrovnalostí;
</t>
    </r>
    <r>
      <rPr>
        <b/>
        <sz val="16"/>
        <color theme="1"/>
        <rFont val="Calibri"/>
        <family val="2"/>
        <charset val="238"/>
        <scheme val="minor"/>
      </rPr>
      <t>PROJEKT POZASTAVEN</t>
    </r>
    <r>
      <rPr>
        <sz val="11"/>
        <color theme="1"/>
        <rFont val="Calibri"/>
        <family val="2"/>
        <charset val="238"/>
        <scheme val="minor"/>
      </rPr>
      <t xml:space="preserve">
</t>
    </r>
  </si>
  <si>
    <r>
      <t xml:space="preserve">FÚ penále dosud nevyměřil,  penále bude ve výši 1 promile z částky odvodu za každý den prodlení, penále bude zřejmě ve 100% výši, KK bude žádat o prominutí penále
</t>
    </r>
    <r>
      <rPr>
        <b/>
        <sz val="16"/>
        <color theme="1"/>
        <rFont val="Calibri"/>
        <family val="2"/>
        <charset val="238"/>
        <scheme val="minor"/>
      </rPr>
      <t>OČEKÁVÁME PV NA PENÁLE</t>
    </r>
  </si>
  <si>
    <r>
      <t xml:space="preserve">12.7.2016 se KK vyjádřil k předmětné věci na SFŽP
</t>
    </r>
    <r>
      <rPr>
        <b/>
        <sz val="16"/>
        <color theme="1"/>
        <rFont val="Calibri"/>
        <family val="2"/>
        <charset val="238"/>
        <scheme val="minor"/>
      </rPr>
      <t>OČEKÁVÁME VYDÁNÍ VÝZVY</t>
    </r>
  </si>
  <si>
    <r>
      <t xml:space="preserve">16.11.2016 z ÚRR Oznámení o zahájení kontroly; 8.2.2017 ÚRR Protokol o kontrole - bez zjištění
</t>
    </r>
    <r>
      <rPr>
        <b/>
        <sz val="16"/>
        <color theme="1"/>
        <rFont val="Calibri"/>
        <family val="2"/>
        <charset val="238"/>
        <scheme val="minor"/>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</si>
  <si>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</si>
  <si>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</si>
  <si>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</si>
  <si>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</si>
  <si>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r>
      <t xml:space="preserve">platební výměry doručeny 1/2014;
6.2.2014 podaná odvolání proti platebním výměrům;  platební výměry dosud nenabyly právní moci
25.6.2014 odeslány finanční prostředky na úhradu PV na KSÚS
</t>
    </r>
    <r>
      <rPr>
        <b/>
        <sz val="11"/>
        <color theme="1"/>
        <rFont val="Calibri"/>
        <family val="2"/>
        <charset val="238"/>
        <scheme val="minor"/>
      </rPr>
      <t>PŘÍPRAVA NÁVRHU NA SPOR Z VEŘEJNOPRÁVNÍ SMLOUVY PRO PENĚŽITÉ PLNĚNÍ</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</si>
  <si>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t>
    </r>
    <r>
      <rPr>
        <b/>
        <sz val="11"/>
        <color theme="1"/>
        <rFont val="Calibri"/>
        <family val="2"/>
        <charset val="238"/>
        <scheme val="minor"/>
      </rPr>
      <t>KONČENÝ STAV - POSTIH ZRUŠEN</t>
    </r>
  </si>
  <si>
    <r>
      <t xml:space="preserve">rozhodnutím ÚOHS z 15.1.2015 snížena pokuta na 200 000,-- Kč; 28.1.2015 podán proti rozhodnutí rozklad;
4.1.2016 Rozhodnutí ÚOHS - zrušena pokuta, zastaveno správní řízení
</t>
    </r>
    <r>
      <rPr>
        <b/>
        <sz val="11"/>
        <color theme="1"/>
        <rFont val="Calibri"/>
        <family val="2"/>
        <charset val="238"/>
        <scheme val="minor"/>
      </rPr>
      <t>KONEČNÝ STAV - POSTIH ZRUŠEN</t>
    </r>
  </si>
  <si>
    <t>APDM, p.o.</t>
  </si>
  <si>
    <r>
      <t xml:space="preserve">proveden přesun do nezpůsobilých výdajů- není pokryto dotací;  zbývající část dotace byla poskytnuta v 9/2014; 
</t>
    </r>
    <r>
      <rPr>
        <b/>
        <sz val="11"/>
        <color theme="1"/>
        <rFont val="Calibri"/>
        <family val="2"/>
        <charset val="238"/>
        <scheme val="minor"/>
      </rPr>
      <t>30.3.2015</t>
    </r>
    <r>
      <rPr>
        <sz val="11"/>
        <color theme="1"/>
        <rFont val="Calibri"/>
        <family val="2"/>
        <charset val="238"/>
        <scheme val="minor"/>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theme="1"/>
        <rFont val="Calibri"/>
        <family val="2"/>
        <charset val="238"/>
        <scheme val="minor"/>
      </rPr>
      <t xml:space="preserve">samostatném řízení; </t>
    </r>
    <r>
      <rPr>
        <sz val="11"/>
        <color theme="1"/>
        <rFont val="Calibri"/>
        <family val="2"/>
        <charset val="238"/>
        <scheme val="minor"/>
      </rPr>
      <t xml:space="preserve">16.6.2015 doručeno vyjádření ÚRR ve věci sporu, 24.6.2015  odesláno na MF ČR  stanovisko ISŠTE; 
11.5.2015 zahájen MF ČR audit operace za II.etapu projektu;
31.8.2015 doručeno </t>
    </r>
    <r>
      <rPr>
        <b/>
        <sz val="11"/>
        <color theme="1"/>
        <rFont val="Calibri"/>
        <family val="2"/>
        <charset val="238"/>
        <scheme val="minor"/>
      </rPr>
      <t>rozhodnutí MF ČR ve prospěch ISŠTE</t>
    </r>
    <r>
      <rPr>
        <sz val="11"/>
        <color theme="1"/>
        <rFont val="Calibri"/>
        <family val="2"/>
        <charset val="238"/>
        <scheme val="minor"/>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theme="1"/>
        <rFont val="Calibri"/>
        <family val="2"/>
        <charset val="238"/>
        <scheme val="minor"/>
      </rPr>
      <t>OČEKÁVÁ SE ROZHODNUTÍ SPORU PRO PENĚŽITÉ PLNĚNÍ MINISTERSTVEM FINANCÍ</t>
    </r>
  </si>
  <si>
    <r>
      <t>ÚOHS 10.4.2014 zamítnul rozklad, rozhodnutí o pokutě nabylo právní, pokuta uhrazena;
10.6.2014 podaná správní žaloba,
na 20.6.2016 předvolána ISŠTE k soudu v Brně; 30 Af 42/2014 - 71  ze dne 20.6.2016 rozsudek soudu ve věci správní žaloby  - zamítnuto</t>
    </r>
    <r>
      <rPr>
        <b/>
        <sz val="11"/>
        <color theme="1"/>
        <rFont val="Calibri"/>
        <family val="2"/>
        <charset val="238"/>
        <scheme val="minor"/>
      </rPr>
      <t xml:space="preserve">
</t>
    </r>
    <r>
      <rPr>
        <sz val="11"/>
        <color theme="1"/>
        <rFont val="Calibri"/>
        <family val="2"/>
        <charset val="238"/>
        <scheme val="minor"/>
      </rPr>
      <t xml:space="preserve">19.7.2016 podala AK kasační stížnost
</t>
    </r>
    <r>
      <rPr>
        <b/>
        <sz val="11"/>
        <color theme="1"/>
        <rFont val="Calibri"/>
        <family val="2"/>
        <charset val="238"/>
        <scheme val="minor"/>
      </rPr>
      <t>OČEKÁVÁME ROZHODNUTÍ NEJVYŠŠÍHO SPRÁVNÍHO SOUDU VE VĚCI KASAČNÍ STÍŽNOSTI</t>
    </r>
  </si>
  <si>
    <r>
      <t xml:space="preserve">30.7.2014 ÚRR zahájil daňové řízení, 19.8.2014 zasláno na ÚRR podání ve věci daňového řízení; 
</t>
    </r>
    <r>
      <rPr>
        <sz val="11"/>
        <rFont val="Calibri"/>
        <family val="2"/>
        <charset val="238"/>
        <scheme val="minor"/>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scheme val="minor"/>
      </rPr>
      <t>OČEKÁVÁME ROZHODNUTÍ POSKYTOVATELE DOTACE O PROMINUTÍ ODVODU A ROZHODNUTÍ MINISTERSTVA FINANCÍ O ODVOLÁNÍ PROTI PLATEBNÍMU VÝMĚRU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</si>
  <si>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theme="1"/>
        <rFont val="Calibri"/>
        <family val="2"/>
        <charset val="238"/>
        <scheme val="minor"/>
      </rPr>
      <t>PŘÍPRAVA NÁVRHU NA SPOR Z VEŘEJNOPRÁVNÍ SMLOUVY PRO PENĚŽITÉ PLNĚNÍ</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</si>
  <si>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theme="1"/>
        <rFont val="Calibri"/>
        <family val="2"/>
        <charset val="238"/>
        <scheme val="minor"/>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</si>
  <si>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t>
    </r>
    <r>
      <rPr>
        <b/>
        <sz val="11"/>
        <color theme="1"/>
        <rFont val="Calibri"/>
        <family val="2"/>
        <charset val="238"/>
        <scheme val="minor"/>
      </rPr>
      <t>PŘÍPRAVA NÁVRHU NA SPOR Z VEŘEJNOPRÁVNÍ SMLOUVY PRO PENĚŽITÉ PLNĚNÍ</t>
    </r>
  </si>
  <si>
    <t>bfz – vzdělávací akademie, s.r.o.</t>
  </si>
  <si>
    <r>
      <t xml:space="preserve">rozhodnutí o pokutě z 4.4.2012; pokutu ÚOHS uhradil ředitel školy - rozhodnutí škodní komise ze dne 21.5.2012; datum úhrady 20.6.2012
</t>
    </r>
    <r>
      <rPr>
        <b/>
        <sz val="11"/>
        <color theme="1"/>
        <rFont val="Calibri"/>
        <family val="2"/>
        <charset val="238"/>
        <scheme val="minor"/>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</si>
  <si>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theme="1"/>
        <rFont val="Calibri"/>
        <family val="2"/>
        <charset val="238"/>
        <scheme val="minor"/>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</si>
  <si>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theme="1"/>
        <rFont val="Calibri"/>
        <family val="2"/>
        <charset val="238"/>
        <scheme val="minor"/>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</si>
  <si>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theme="1"/>
        <rFont val="Calibri"/>
        <family val="2"/>
        <charset val="238"/>
        <scheme val="minor"/>
      </rPr>
      <t>KONEČNÝ STAV - ULOŽENÁ POKUTA JE DEFINITIVNÍ</t>
    </r>
  </si>
  <si>
    <r>
      <t xml:space="preserve">rozhodnutí o pokutě z 13.1.2014; KKN a.s. pokutu uhradila
</t>
    </r>
    <r>
      <rPr>
        <b/>
        <sz val="11"/>
        <color theme="1"/>
        <rFont val="Calibri"/>
        <family val="2"/>
        <charset val="238"/>
        <scheme val="minor"/>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</si>
  <si>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theme="1"/>
        <rFont val="Calibri"/>
        <family val="2"/>
        <charset val="238"/>
        <scheme val="minor"/>
      </rPr>
      <t>PŘÍPRAVA NÁVRHU NA SPOR Z VEŘEJNOPRÁVNÍ SMLOUVY PRO PENĚŽITÉ PLNĚNÍ</t>
    </r>
  </si>
  <si>
    <t>na ÚOHS předána dokumentace k přezkoumání veřejné zakázky - nebyly shledány důvody pro zahájení správního řízení</t>
  </si>
  <si>
    <r>
      <t xml:space="preserve">30.1.2015 si ÚOHS vyžádal dokumentaci, 9.2.2015 zasláno na ÚOHS stanovisko k podanému podnětu
3.8.2015 Výsledek šetření UOHS - nebyly shledány důvody pro zahájení spor.řízení
</t>
    </r>
    <r>
      <rPr>
        <b/>
        <sz val="11"/>
        <color theme="1"/>
        <rFont val="Calibri"/>
        <family val="2"/>
        <charset val="238"/>
        <scheme val="minor"/>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</si>
  <si>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PŘÍPRAVA NÁVRHU NA SPOR Z VEŘEJNOPRÁVNÍ SMLOUVY PRO PENĚŽITÉ PLNĚNÍ</t>
    </r>
  </si>
  <si>
    <r>
      <t xml:space="preserve">ÚOHS si dne 13.3.2015 vyžádal zaslání písemného vyjádření k podnětu a zaslání dokumentace k VZ; 
18.3.2015 na ÚOHS odesláno vyjádření a dokumentace k VZ; </t>
    </r>
    <r>
      <rPr>
        <sz val="11"/>
        <color theme="1"/>
        <rFont val="Calibri"/>
        <family val="2"/>
        <charset val="238"/>
        <scheme val="minor"/>
      </rPr>
      <t xml:space="preserve">24.4.2015 ÚOHS oznámení o zahájení správního řízení čj: ÚOHS-S245/2015/VZ-10117/2015/543/Jwe
29.4.2015 odesláno stanovisko  na ÚOHS
</t>
    </r>
    <r>
      <rPr>
        <b/>
        <sz val="11"/>
        <color theme="1"/>
        <rFont val="Calibri"/>
        <family val="2"/>
        <charset val="238"/>
        <scheme val="minor"/>
      </rPr>
      <t>OČEKÁVÁME ROZHODNUTÍ OÚHS O POKUTĚ</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</si>
  <si>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theme="1"/>
        <rFont val="Calibri"/>
        <family val="2"/>
        <charset val="238"/>
        <scheme val="minor"/>
      </rPr>
      <t>OČEKÁVÁME ZAHÁJENÍ DAŇOVÉHO ŘÍZENÍ A VYSTAVENÍ PLATEBNÍHO VÝMĚRU</t>
    </r>
  </si>
  <si>
    <t>nejedná se o projekt</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</si>
  <si>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theme="1"/>
        <rFont val="Calibri"/>
        <family val="2"/>
        <charset val="238"/>
        <scheme val="minor"/>
      </rPr>
      <t>KONEČNÝ STAV - ODSTOUPENO OD PROJEKTU</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</si>
  <si>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t>
    </r>
    <r>
      <rPr>
        <b/>
        <sz val="11"/>
        <color theme="1"/>
        <rFont val="Calibri"/>
        <family val="2"/>
        <charset val="238"/>
        <scheme val="minor"/>
      </rPr>
      <t>PŘÍPRAVA NÁVRHU NA SPOR Z VEŘEJNOPRÁVNÍ SMLOUVY PRO PENĚŽITÉ PLNĚNÍ</t>
    </r>
  </si>
  <si>
    <r>
      <t xml:space="preserve">6.10.2015 zastaveno správní řízení ÚOHS - nebyly zjištěny důvody pro uložení sankce
</t>
    </r>
    <r>
      <rPr>
        <b/>
        <sz val="11"/>
        <color theme="1"/>
        <rFont val="Calibri"/>
        <family val="2"/>
        <charset val="238"/>
        <scheme val="minor"/>
      </rPr>
      <t>KONEČNÝ STAV - ŠETŘENÍ ÚOHS BYLO BEZDŮVODNÉ</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</si>
  <si>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t>
    </r>
    <r>
      <rPr>
        <b/>
        <sz val="11"/>
        <rFont val="Calibri"/>
        <family val="2"/>
        <charset val="238"/>
        <scheme val="minor"/>
      </rPr>
      <t>PŘÍPRAVA NÁVRHU NA SPOR Z VEŘEJNOPRÁVNÍ SMLOUVY PRO PENĚŽITÉ PLNĚNÍ</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</si>
  <si>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theme="1"/>
        <rFont val="Calibri"/>
        <family val="2"/>
        <charset val="238"/>
        <scheme val="minor"/>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</si>
  <si>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theme="1"/>
        <rFont val="Calibri"/>
        <family val="2"/>
        <charset val="238"/>
        <scheme val="minor"/>
      </rPr>
      <t>ODBOR ZDRAVOTNICTVÍ PŘIPRAVUJE VYÚČTOVÁNÍ PROJEKTU, PO JEHO SCHVÁLENÍ RKK A ZKK BUDE PROBÍHAT PŘÍPRAVA NA SPOR Z VPS</t>
    </r>
  </si>
  <si>
    <t xml:space="preserve">REDI-regionalistika, ekologie,
Developing. Investice, spol. s r.o. </t>
  </si>
  <si>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theme="1"/>
        <rFont val="Calibri"/>
        <family val="2"/>
        <charset val="238"/>
        <scheme val="minor"/>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</si>
  <si>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theme="1"/>
        <rFont val="Calibri"/>
        <family val="2"/>
        <charset val="238"/>
        <scheme val="minor"/>
      </rPr>
      <t>KONEČNÝ STAV - BEZ KRÁCENÍ</t>
    </r>
  </si>
  <si>
    <r>
      <t xml:space="preserve">10.2.2017 doručena zpráva o auditu operace, auditní orgány zkontroloval výdaje ve výši 98.302.215,00 Kč a neidentifikoval žádné nezpůsobilé výdaje
</t>
    </r>
    <r>
      <rPr>
        <b/>
        <sz val="11"/>
        <color theme="1"/>
        <rFont val="Calibri"/>
        <family val="2"/>
        <charset val="238"/>
        <scheme val="minor"/>
      </rPr>
      <t>KONEČNÝ STAV - BEZ ZJIŠTĚNÍ</t>
    </r>
  </si>
  <si>
    <t>Olivius s.r.o.</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</si>
  <si>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theme="1"/>
        <rFont val="Calibri"/>
        <family val="2"/>
        <charset val="238"/>
        <scheme val="minor"/>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</si>
  <si>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theme="1"/>
        <rFont val="Calibri"/>
        <family val="2"/>
        <charset val="238"/>
        <scheme val="minor"/>
      </rPr>
      <t>KONEČNÝ STAV - BEZ ZJIŠTĚNÍ</t>
    </r>
  </si>
  <si>
    <t>Ing. Josef Vacek - fyzická osoba podnikatelská - administrace projektu</t>
  </si>
  <si>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theme="1"/>
        <rFont val="Calibri"/>
        <family val="2"/>
        <charset val="238"/>
        <scheme val="minor"/>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</si>
  <si>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theme="1"/>
        <rFont val="Calibri"/>
        <family val="2"/>
        <charset val="238"/>
        <scheme val="minor"/>
      </rPr>
      <t>KONEČNÝ STAV - PROTI KRÁCENÍ SE JIŽ NELZE BRÁNIT</t>
    </r>
  </si>
  <si>
    <t>GOAML, p.o.</t>
  </si>
  <si>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theme="1"/>
        <rFont val="Calibri"/>
        <family val="2"/>
        <charset val="238"/>
        <scheme val="minor"/>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</si>
  <si>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theme="1"/>
        <rFont val="Calibri"/>
        <family val="2"/>
        <charset val="238"/>
        <scheme val="minor"/>
      </rPr>
      <t>KONEČNÝ STAV - ŠETŘENÍ ÚOHS BYLO BEZDŮVODNÉ</t>
    </r>
  </si>
  <si>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</si>
  <si>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</si>
  <si>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datum úhrady  2/2013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</si>
  <si>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 xml:space="preserve">rozhodnutím z 29.7.2013 bylo penále prominuto v plné výši
</t>
    </r>
    <r>
      <rPr>
        <b/>
        <sz val="16"/>
        <rFont val="Calibri"/>
        <family val="2"/>
        <charset val="238"/>
        <scheme val="minor"/>
      </rPr>
      <t>KONEČNÝ STAV - POSTIH ZRUŠEN</t>
    </r>
  </si>
  <si>
    <r>
      <t xml:space="preserve">datum úhrady  3/2013
</t>
    </r>
    <r>
      <rPr>
        <b/>
        <sz val="16"/>
        <rFont val="Calibri"/>
        <family val="2"/>
        <charset val="238"/>
        <scheme val="minor"/>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</si>
  <si>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</si>
  <si>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charset val="238"/>
        <scheme val="minor"/>
      </rPr>
      <t>KONEČNÝ STAV - POSTIH ZRUŠEN</t>
    </r>
  </si>
  <si>
    <r>
      <t xml:space="preserve">datum úhrady 7/2013
</t>
    </r>
    <r>
      <rPr>
        <b/>
        <sz val="16"/>
        <color theme="1"/>
        <rFont val="Calibri"/>
        <family val="2"/>
        <charset val="238"/>
        <scheme val="minor"/>
      </rPr>
      <t>KONEČNÝ STAV - ODVOD UHRAZEN</t>
    </r>
  </si>
  <si>
    <r>
      <t xml:space="preserve">datum úhrady 9/2013
</t>
    </r>
    <r>
      <rPr>
        <b/>
        <sz val="16"/>
        <color theme="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</si>
  <si>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theme="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</si>
  <si>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theme="1"/>
        <rFont val="Calibri"/>
        <family val="2"/>
        <charset val="238"/>
        <scheme val="minor"/>
      </rPr>
      <t xml:space="preserve">24.3.2016 Gen.fin.řed.Praha - Rozhodnutí o prominutí odvodu ve výši 189.910,-Kč, zaplaceno 253.214,-Kč,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</si>
  <si>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235.126,-Kč, uhrazeno 246.056,-Kč, prominutá část vrácena na účet KK v 4/2016
</t>
    </r>
    <r>
      <rPr>
        <b/>
        <sz val="16"/>
        <color theme="1"/>
        <rFont val="Calibri"/>
        <family val="2"/>
        <charset val="238"/>
        <scheme val="minor"/>
      </rPr>
      <t>KONEČNÝ STAV - ČÁSTEČNÉ PROMINUTÍ PENÁLE</t>
    </r>
  </si>
  <si>
    <r>
      <t xml:space="preserve">datum úhrady 16.1.2015
</t>
    </r>
    <r>
      <rPr>
        <b/>
        <sz val="16"/>
        <color theme="1"/>
        <rFont val="Calibri"/>
        <family val="2"/>
        <charset val="238"/>
        <scheme val="minor"/>
      </rPr>
      <t>KONEČNÝ STAV - ÚROK Z POSEČKÁNÍ UhRAZEN</t>
    </r>
  </si>
  <si>
    <r>
      <t xml:space="preserve">uhrazeno v 12/2012 a 2/2013; rozhodnutím z 13.5.2013 prominuto v plné výši; vráceno v plné výši 8/2013
</t>
    </r>
    <r>
      <rPr>
        <b/>
        <sz val="16"/>
        <color theme="1"/>
        <rFont val="Calibri"/>
        <family val="2"/>
        <charset val="238"/>
        <scheme val="minor"/>
      </rPr>
      <t>KONEČNÝ STAV - POSTIH ZRUŠEN</t>
    </r>
  </si>
  <si>
    <r>
      <t xml:space="preserve">uhrazeno v 3/2013; rozhodnutím z 13.5.2013 prominuto v plné výši; vráceno v plné výši 8/2013
</t>
    </r>
    <r>
      <rPr>
        <b/>
        <sz val="16"/>
        <color theme="1"/>
        <rFont val="Calibri"/>
        <family val="2"/>
        <charset val="238"/>
        <scheme val="minor"/>
      </rPr>
      <t>KONEČNÝ STAV - POSTIH ZRUŠEN</t>
    </r>
  </si>
  <si>
    <r>
      <t xml:space="preserve">uhrazeno v 1-2/2013; rozhodnutím z 17.7.2013 prominuto v plné výši; vráceno v plné výši 8/2013
</t>
    </r>
    <r>
      <rPr>
        <b/>
        <sz val="16"/>
        <color theme="1"/>
        <rFont val="Calibri"/>
        <family val="2"/>
        <charset val="238"/>
        <scheme val="minor"/>
      </rPr>
      <t>KONEČNÝ STAV - POSTIH ZRUŠEN</t>
    </r>
  </si>
  <si>
    <r>
      <t xml:space="preserve">uhrazeno 3/2013; rozhodnutím z 17.7.2013 prominuto v plné výši; vráceno v plné výši 8/2013
</t>
    </r>
    <r>
      <rPr>
        <b/>
        <sz val="16"/>
        <color theme="1"/>
        <rFont val="Calibri"/>
        <family val="2"/>
        <charset val="238"/>
        <scheme val="minor"/>
      </rPr>
      <t>KONEČNÝ STAV - POSTIH ZRUŠEN</t>
    </r>
  </si>
  <si>
    <r>
      <t xml:space="preserve">uhrazeno 7/2013; rozhodnutím z 20.3.2014 částečně prominuto; v 4/2014 vrácená částka ve výši 202 950,--Kč
</t>
    </r>
    <r>
      <rPr>
        <b/>
        <sz val="16"/>
        <color theme="1"/>
        <rFont val="Calibri"/>
        <family val="2"/>
        <charset val="238"/>
        <scheme val="minor"/>
      </rPr>
      <t>KONEČNÝ STAV - ODVOD ČÁSTEČNĚ PROMINUT</t>
    </r>
  </si>
  <si>
    <r>
      <t xml:space="preserve">uhrazeno 9/2013; rozhodnutím z 20.3.2014 prominuto v plné výši; vráceno v plné výši 4/2013
</t>
    </r>
    <r>
      <rPr>
        <b/>
        <sz val="16"/>
        <color theme="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</si>
  <si>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theme="1"/>
        <rFont val="Calibri"/>
        <family val="2"/>
        <charset val="238"/>
        <scheme val="minor"/>
      </rPr>
      <t xml:space="preserve">24.3.2016 Gen.fin.řed.Praha - Rozhodnutí o prominutí odvodu ve výši 40.982,-Kč, uhrazeno 54.643,-Kč,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</si>
  <si>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52.107,-Kč, uhrazeno 54.643,-Kč, prominutá část vrácena na účet KK v 4/2016
</t>
    </r>
    <r>
      <rPr>
        <b/>
        <sz val="16"/>
        <color theme="1"/>
        <rFont val="Calibri"/>
        <family val="2"/>
        <charset val="238"/>
        <scheme val="minor"/>
      </rPr>
      <t>KONEČNÝ STAV - ČÁSTEČNÉ PROMINUTÍ PENÁLE</t>
    </r>
  </si>
  <si>
    <r>
      <t xml:space="preserve">datum úhrady 5/2012
</t>
    </r>
    <r>
      <rPr>
        <b/>
        <sz val="16"/>
        <rFont val="Calibri"/>
        <family val="2"/>
        <charset val="238"/>
        <scheme val="minor"/>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</si>
  <si>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charset val="238"/>
        <scheme val="minor"/>
      </rPr>
      <t xml:space="preserve">24.3.2016 Gen.fin.řed.Praha-Rozhodnutí o prominutí odvodu ve výši 41.203,-Kč, uhrazeno 54.937,-Kč, prominutá část vrácena na účet KK v 4/2016
</t>
    </r>
    <r>
      <rPr>
        <b/>
        <sz val="16"/>
        <rFont val="Calibri"/>
        <family val="2"/>
        <charset val="238"/>
        <scheme val="minor"/>
      </rPr>
      <t>KONEČNÝ STAV - ODVOD ČÁSTEČNÉ PROMINUT</t>
    </r>
  </si>
  <si>
    <r>
      <t xml:space="preserve">datum úhrady 17.12.2014;
</t>
    </r>
    <r>
      <rPr>
        <b/>
        <sz val="11"/>
        <rFont val="Calibri"/>
        <family val="2"/>
        <charset val="238"/>
        <scheme val="minor"/>
      </rPr>
      <t xml:space="preserve">24.3.2016 Gen.fin.řed.Praha-Rozhodnutí o prominutí penále ve výši 52.387,-Kč, uhrazeno 54.937,-Kč, prominutá část vrácena na účet KK v 4/2016
</t>
    </r>
    <r>
      <rPr>
        <b/>
        <sz val="16"/>
        <rFont val="Calibri"/>
        <family val="2"/>
        <charset val="238"/>
        <scheme val="minor"/>
      </rPr>
      <t>KONEČNÝ STAV - PENÁLE ČÁSTEČNĚ PROMINUTO</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</si>
  <si>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t>
    </r>
    <r>
      <rPr>
        <b/>
        <sz val="16"/>
        <rFont val="Calibri"/>
        <family val="2"/>
        <charset val="238"/>
        <scheme val="minor"/>
      </rPr>
      <t>MŠMT ŘEŠÍ S FINANĆNÍM ÚŘADEM
ŽÁDOST O PROMINUTÍ ODVODU NA GENER.FIN.ŘED.</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</si>
  <si>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</si>
  <si>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</si>
  <si>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27.11.2015 odeslána dokumentace na ÚOHS; 16.12.2015 Výsledek šetření ÚOHS - neshledal důvody pro zahájení správního řízení
</t>
    </r>
    <r>
      <rPr>
        <b/>
        <sz val="16"/>
        <rFont val="Calibri"/>
        <family val="2"/>
        <charset val="238"/>
        <scheme val="minor"/>
      </rPr>
      <t>ÚOHS - BEZ ZJIŠTĚNÍ</t>
    </r>
  </si>
  <si>
    <r>
      <t xml:space="preserve">24.6.2015 zasláno vyjádření a dokumentace na ÚOHS; 30.10.2015 Oznámení ÚOHS - neshledal důvody pro zahájení správního řízení
</t>
    </r>
    <r>
      <rPr>
        <b/>
        <sz val="16"/>
        <rFont val="Calibri"/>
        <family val="2"/>
        <charset val="238"/>
        <scheme val="minor"/>
      </rPr>
      <t xml:space="preserve">ÚOHS </t>
    </r>
    <r>
      <rPr>
        <sz val="11"/>
        <rFont val="Calibri"/>
        <family val="2"/>
        <charset val="238"/>
        <scheme val="minor"/>
      </rPr>
      <t xml:space="preserve">- </t>
    </r>
    <r>
      <rPr>
        <b/>
        <sz val="16"/>
        <rFont val="Calibri"/>
        <family val="2"/>
        <charset val="238"/>
        <scheme val="minor"/>
      </rPr>
      <t>BEZ ZJIŠTĚNÍ</t>
    </r>
  </si>
  <si>
    <r>
      <t xml:space="preserve">ÚOHS neshledal důvod pro zahájení správního řízení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</si>
  <si>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charset val="238"/>
        <scheme val="minor"/>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</si>
  <si>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POSTIH ZRUŠEN</t>
    </r>
  </si>
  <si>
    <r>
      <t xml:space="preserve">7.8.2014 - Oznámení o nesrovnalosti a předání věci správci daně - z MŠMT; 
25.4.2016 - Oznámení z MŠMT, trvá na nesrovnalosti a věc předá opětovně na FÚ
</t>
    </r>
    <r>
      <rPr>
        <b/>
        <sz val="16"/>
        <rFont val="Calibri"/>
        <family val="2"/>
        <charset val="238"/>
        <scheme val="minor"/>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</si>
  <si>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charset val="238"/>
        <scheme val="minor"/>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</si>
  <si>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theme="1"/>
        <rFont val="Calibri"/>
        <family val="2"/>
        <charset val="238"/>
        <scheme val="minor"/>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</si>
  <si>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theme="1"/>
        <rFont val="Calibri"/>
        <family val="2"/>
        <charset val="238"/>
        <scheme val="minor"/>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</si>
  <si>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</si>
  <si>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4.11.2014 ukončena veřejnosprávní kontrola - námitkám v plném rozsahu vyhověno;
vyúčtování projektu ZK 473/12/15 ze dne 3.12.2015
</t>
    </r>
    <r>
      <rPr>
        <b/>
        <sz val="16"/>
        <color theme="1"/>
        <rFont val="Calibri"/>
        <family val="2"/>
        <charset val="238"/>
        <scheme val="minor"/>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</si>
  <si>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charset val="238"/>
        <scheme val="minor"/>
      </rPr>
      <t>KONEČNÝ STAV - POKUTA UHRAZENA</t>
    </r>
  </si>
  <si>
    <r>
      <t xml:space="preserve">datum úhrady 2/2014
</t>
    </r>
    <r>
      <rPr>
        <b/>
        <sz val="16"/>
        <color theme="1"/>
        <rFont val="Calibri"/>
        <family val="2"/>
        <charset val="238"/>
        <scheme val="minor"/>
      </rPr>
      <t>KONEČNÝ STAV - ODVOD UHRAZEN</t>
    </r>
  </si>
  <si>
    <r>
      <t xml:space="preserve">datum úhrady 2/2014;
27.8.2015 částečně prominuté penále ve výši 67.949,-- Kč
</t>
    </r>
    <r>
      <rPr>
        <b/>
        <sz val="16"/>
        <color theme="1"/>
        <rFont val="Calibri"/>
        <family val="2"/>
        <charset val="238"/>
        <scheme val="minor"/>
      </rPr>
      <t>KONEČNÝ STAV - ČÁSTEČNĚ PROMINUTÉ PENÁLE UHRAZENO</t>
    </r>
  </si>
  <si>
    <r>
      <t xml:space="preserve">datum úhrady 12/2013
</t>
    </r>
    <r>
      <rPr>
        <b/>
        <sz val="16"/>
        <color theme="1"/>
        <rFont val="Calibri"/>
        <family val="2"/>
        <charset val="238"/>
        <scheme val="minor"/>
      </rPr>
      <t>KONEČNÝ STAV - ODVOD UHRAZEN</t>
    </r>
  </si>
  <si>
    <r>
      <t xml:space="preserve">datum úhrady 1/2014; 
27.8.2015 částečně prominuté penále ve výši 10.635,-- Kč
</t>
    </r>
    <r>
      <rPr>
        <b/>
        <sz val="16"/>
        <color theme="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</si>
  <si>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ZKRÁCENÍ DOTACE</t>
    </r>
  </si>
  <si>
    <r>
      <t xml:space="preserve">18.3.2016 z ÚRR č.j. RRSZ 3612/2016 Oznámení o zahájení kontroly;
23.3.2016 z ÚRR č.j. RRSZ 3756/2016 Protokol o kontrole
</t>
    </r>
    <r>
      <rPr>
        <b/>
        <sz val="16"/>
        <color theme="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</si>
  <si>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theme="1"/>
        <rFont val="Calibri"/>
        <family val="2"/>
        <charset val="238"/>
        <scheme val="minor"/>
      </rPr>
      <t>ČEKÁME NA VYÚČTOVÁNÍ PROJEKTU</t>
    </r>
    <r>
      <rPr>
        <sz val="11"/>
        <color theme="1"/>
        <rFont val="Calibri"/>
        <family val="2"/>
        <charset val="238"/>
        <scheme val="minor"/>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</si>
  <si>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</si>
  <si>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</si>
  <si>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</si>
  <si>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</si>
  <si>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</si>
  <si>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</si>
  <si>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7.9.2016 žádost ÚOHS k zaslání dokumentace (u VZ - Akutní péče); 15.9.2016 zaslané dokumenty a stanovisko; 27. 9.2019 Oznámení z ÚOHS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</si>
  <si>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13.7.2016 žádost ÚOHS u VZ - rentgeny o zaslání dokumentace, KK dne 13.7.2016 dokumentaci zaslal a 19.7.2016 ÚOHS - bez zjištění
</t>
    </r>
    <r>
      <rPr>
        <b/>
        <sz val="16"/>
        <color theme="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</si>
  <si>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</si>
  <si>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10.9.2015 doručen Protokol z VSK; do 24.9.2015 odeslány námitky proti kontrolním zjištěním; 13.10.2015 námitky ÚRR zamítnul
30.1.2017 ÚRR Oznámení o krácení způsobilých výdajů
</t>
    </r>
    <r>
      <rPr>
        <b/>
        <sz val="16"/>
        <color theme="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</si>
  <si>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</si>
  <si>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</si>
  <si>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theme="1"/>
        <rFont val="Calibri"/>
        <family val="2"/>
        <charset val="238"/>
        <scheme val="minor"/>
      </rPr>
      <t>KONEČNÝ STAV - ZKRÁCENÍ DOTACE</t>
    </r>
    <r>
      <rPr>
        <sz val="11"/>
        <color theme="1"/>
        <rFont val="Calibri"/>
        <family val="2"/>
        <charset val="238"/>
        <scheme val="minor"/>
      </rPr>
      <t xml:space="preserve">
</t>
    </r>
  </si>
  <si>
    <r>
      <t xml:space="preserve">RK 1001/09/15 a ZK 411/10/15 - zdůvodnění nezpůsobilých výdajů
</t>
    </r>
    <r>
      <rPr>
        <b/>
        <sz val="16"/>
        <color theme="1"/>
        <rFont val="Calibri"/>
        <family val="2"/>
        <charset val="238"/>
        <scheme val="minor"/>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</si>
  <si>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</si>
  <si>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theme="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</si>
  <si>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theme="1"/>
        <rFont val="Calibri"/>
        <family val="2"/>
        <charset val="238"/>
        <scheme val="minor"/>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</si>
  <si>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</si>
  <si>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</si>
  <si>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theme="1"/>
        <rFont val="Calibri"/>
        <family val="2"/>
        <charset val="238"/>
        <scheme val="minor"/>
      </rPr>
      <t>KONEČNÝ STAV - VZHLEDEM K CHARAKTERU POCHYBENÍ ROZHODLA RKK O NEUPLATNĚNÍ OBRANY</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</si>
  <si>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</si>
  <si>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</si>
  <si>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</si>
  <si>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</si>
  <si>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</si>
  <si>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</si>
  <si>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</si>
  <si>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</si>
  <si>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</si>
  <si>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</si>
  <si>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</si>
  <si>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</si>
  <si>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</si>
  <si>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t>
    </r>
    <r>
      <rPr>
        <b/>
        <sz val="16"/>
        <color theme="1"/>
        <rFont val="Calibri"/>
        <family val="2"/>
        <charset val="238"/>
        <scheme val="minor"/>
      </rPr>
      <t>ODVOLÁNÍ U ODVOLACÍHO FIN.ŘED.
ŽÁDOST O PROMINUTÍ ODVODU A DOSUD NEVYM.PENÁLE U GEN.FIN.ŘED.</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</si>
  <si>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t>
    </r>
    <r>
      <rPr>
        <b/>
        <sz val="16"/>
        <rFont val="Calibri"/>
        <family val="2"/>
        <charset val="238"/>
        <scheme val="minor"/>
      </rPr>
      <t>ODVOLÁNÍ U ODVOLACÍHO FIN.ŘED.
ŽÁDOST O PROMINUTÍ ODVODU A DOSUD NEVYM.PENÁLE U GEN.FIN.ŘED.</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</si>
  <si>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theme="1"/>
        <rFont val="Calibri"/>
        <family val="2"/>
        <charset val="238"/>
        <scheme val="minor"/>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</si>
  <si>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theme="1"/>
        <rFont val="Calibri"/>
        <family val="2"/>
        <charset val="238"/>
        <scheme val="minor"/>
      </rPr>
      <t>OČEKÁVÁME ZAHÁJENÍ DAŇOVÉHO ŘÍZENÍ A VYSTAVENÍ PLATEBNÍCH VÝMĚRŮ</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</si>
  <si>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theme="1"/>
        <rFont val="Calibri"/>
        <family val="2"/>
        <charset val="238"/>
        <scheme val="minor"/>
      </rPr>
      <t>OČEKÁVÁME ZAHÁJENÍ DAŇOVÉHO ŘÍZENÍ A VYSTAVENÍ PLATEBNÍCH VÝMĚRŮ</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</si>
  <si>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theme="1"/>
        <rFont val="Calibri"/>
        <family val="2"/>
        <charset val="238"/>
        <scheme val="minor"/>
      </rPr>
      <t>OČEKÁVÁME VÝZVU K UHRAZENÍ, PŘÍPADNĚ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</si>
  <si>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charset val="238"/>
        <scheme val="minor"/>
      </rPr>
      <t>OČEKÁVÁME VÝZVU K UHRAZENÍ, PŘÍPADNĚ ZAHÁJENÍ DAŇOVÉHO ŘÍZENÍ A VYSTAVENÍ PLATEBNÍCH VÝMĚRŮ</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</si>
  <si>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theme="1"/>
        <rFont val="Calibri"/>
        <family val="2"/>
        <charset val="238"/>
        <scheme val="minor"/>
      </rPr>
      <t>OČEKÁVÁME ROZHODNUTÍ O ROZKLADU, BUDE PODÁNA ŽALOBA NA OCHRANU PŘED NEOPRÁVNĚNÝM ZÁSAHEM ÚOHS</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</si>
  <si>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theme="1"/>
        <rFont val="Calibri"/>
        <family val="2"/>
        <charset val="238"/>
        <scheme val="minor"/>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</si>
  <si>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theme="1"/>
        <rFont val="Calibri"/>
        <family val="2"/>
        <charset val="238"/>
        <scheme val="minor"/>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</si>
  <si>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theme="1"/>
        <rFont val="Calibri"/>
        <family val="2"/>
        <charset val="238"/>
        <scheme val="minor"/>
      </rPr>
      <t>OČEKÁVÁME ROZHODNUTÍ O ROZKLADU, BUDE PODÁNA ŽALOBA NA OCHRANU PŘED NEOPRÁVNĚNÝM ZÁSAHEM ÚOHS</t>
    </r>
  </si>
  <si>
    <t>III/21047 Modernizace silnice Nejdek - Pernink 
CZ.1.09/3.1.00/67.01111</t>
  </si>
  <si>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t>
    </r>
    <r>
      <rPr>
        <b/>
        <sz val="11"/>
        <color theme="1"/>
        <rFont val="Calibri"/>
        <family val="2"/>
        <charset val="238"/>
        <scheme val="minor"/>
      </rPr>
      <t>PŘÍPRAVA NÁVRHU NA SPOR Z VEŘEJNOPRÁVNÍ SMLOUVY PRO PENĚŽITÉ PLNĚNÍ</t>
    </r>
  </si>
  <si>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</si>
  <si>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</si>
  <si>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</si>
  <si>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</si>
  <si>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</si>
  <si>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</si>
  <si>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</si>
  <si>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</si>
  <si>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</si>
  <si>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</si>
  <si>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</si>
  <si>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</si>
  <si>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</si>
  <si>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</si>
  <si>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</si>
  <si>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</si>
  <si>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t>
    </r>
    <r>
      <rPr>
        <b/>
        <sz val="16"/>
        <rFont val="Calibri"/>
        <family val="2"/>
        <charset val="238"/>
        <scheme val="minor"/>
      </rPr>
      <t>ODVOLÁNÍ PROTI PV NA FINANČNÍM ÚŘADU</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</si>
  <si>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t>
    </r>
    <r>
      <rPr>
        <b/>
        <sz val="16"/>
        <rFont val="Calibri"/>
        <family val="2"/>
        <charset val="238"/>
        <scheme val="minor"/>
      </rPr>
      <t>ODVOLÁNÍ PROTI PV NA FINANČNÍM ÚŘADU</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</si>
  <si>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vyjádřit se do 13.4.2017
</t>
    </r>
    <r>
      <rPr>
        <b/>
        <sz val="16"/>
        <rFont val="Calibri"/>
        <family val="2"/>
        <charset val="238"/>
        <scheme val="minor"/>
      </rPr>
      <t>OČEKÁVÁME</t>
    </r>
    <r>
      <rPr>
        <sz val="11"/>
        <rFont val="Calibri"/>
        <family val="2"/>
        <charset val="238"/>
        <scheme val="minor"/>
      </rPr>
      <t xml:space="preserve"> </t>
    </r>
    <r>
      <rPr>
        <b/>
        <sz val="16"/>
        <rFont val="Calibri"/>
        <family val="2"/>
        <charset val="238"/>
        <scheme val="minor"/>
      </rPr>
      <t>VYSTAVENÍ PLATEBNÍHO VÝMĚRU</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</si>
  <si>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t>
    </r>
    <r>
      <rPr>
        <b/>
        <sz val="11"/>
        <color theme="1"/>
        <rFont val="Calibri"/>
        <family val="2"/>
        <charset val="238"/>
        <scheme val="minor"/>
      </rPr>
      <t>OČEKÁVÁME VYDÁNÍ PLATEBNÍCH VÝMĚRŮ PRO DALŠÍ ZJIŠTĚNÍ; PŘIPRAVUJEME ODVOLÁNÍ PROTI PLATEBNÍMU VÝMĚRU Č.3/2017</t>
    </r>
  </si>
  <si>
    <r>
      <t xml:space="preserve">FÚ odvod - datum úhrady 7/2013, FÚ penále - datum úhrady 7/2013, FÚ úrok z posečkání za odvod a penále - datum úhrady 9/2013, FÚ odvod - doplatek - datum úhrady 8/2013
</t>
    </r>
    <r>
      <rPr>
        <b/>
        <sz val="11"/>
        <color theme="1"/>
        <rFont val="Calibri"/>
        <family val="2"/>
        <charset val="238"/>
        <scheme val="minor"/>
      </rPr>
      <t xml:space="preserve">KONEČNÝ STAV - PROTI KRÁCENÍ NEJSOU JIŽ ŽÁDNÉ MOŽNOSTI OBRANY
</t>
    </r>
    <r>
      <rPr>
        <sz val="11"/>
        <color theme="1"/>
        <rFont val="Calibri"/>
        <family val="2"/>
        <charset val="238"/>
        <scheme val="minor"/>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theme="1"/>
        <rFont val="Calibri"/>
        <family val="2"/>
        <charset val="238"/>
        <scheme val="minor"/>
      </rPr>
      <t>PROBÍHAJÍ KONZULTACE MEZI ŘEDITELEM ŠKOLY A PRÁVNÍ KANCELÁŘÍ O ZAHÁJENÍ OBČANSKOPRÁVNÍHO SPORU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</si>
  <si>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theme="1"/>
        <rFont val="Calibri"/>
        <family val="2"/>
        <charset val="238"/>
        <scheme val="minor"/>
      </rPr>
      <t>KONEČNÝ STAV - ULOŽENÁ POKUTA JE DEFINITIVNÍ
OLP a KŽÚ VYHODNOCUJE ZÁVAZEK SPOLEČNOSTI VEŘEJNÉ ZAKÁZKY S.R.O., NÉST PŘÍPADNÝ POSTIH ZPŮSOBENÝ NESPRÁVNÝM POSTUPEM PŘI REALIZACI ZADAVATELSKÝCH ČINNOSTÍ VE SMYSLU ZÁKONA Č. 137/2006 Sb.</t>
    </r>
  </si>
  <si>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</si>
  <si>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</si>
  <si>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</si>
  <si>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</si>
  <si>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27.2.2017 Protokol o ústním jednání z FÚ; dne 13.3.2017 podáno stanovisko</t>
  </si>
  <si>
    <t>FÚ
odvod za porušení rozp.kázně</t>
  </si>
  <si>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theme="1"/>
        <rFont val="Calibri"/>
        <family val="2"/>
        <charset val="238"/>
        <scheme val="minor"/>
      </rPr>
      <t>KONEČNÝ STAV - PROTI KRÁCENÍ JIŽ NENÍ PŘÍPUSTNÁ DALŠÍ OBRANA. VYÚČTOVÁNÍ PROJEKTU PROVEDENO MATERIÁLY č. RK 312/03/14 ze dne 24. 3. 2014 a v ZKK usnesením č. ZK 121/04/14 ze dne 24. 4. 2014</t>
    </r>
  </si>
  <si>
    <r>
      <t xml:space="preserve">zjištění ze Zprávy z auditu operace č. IOP/2014/o/037 z 22.12.2014; v 8/2015 podnět z MPSV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do 28.4.2017
</t>
    </r>
    <r>
      <rPr>
        <b/>
        <sz val="16"/>
        <color theme="1"/>
        <rFont val="Calibri"/>
        <family val="2"/>
        <charset val="238"/>
        <scheme val="minor"/>
      </rPr>
      <t>ŽÁDOST O PROMINUTÍ ODVODU A DOSUD NEVYM.PENÁLE NA GENER.FIN.ŘED.</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</si>
  <si>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</si>
  <si>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</si>
  <si>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</si>
  <si>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theme="1"/>
        <rFont val="Calibri"/>
        <family val="2"/>
        <charset val="238"/>
        <scheme val="minor"/>
      </rPr>
      <t>OČEKÁVÁME ZAHÁJENÍ DAŇOVÉHO ŘÍZENÍ A VYSTAVENÍ PLATEBNÍCH VÝMĚRŮ</t>
    </r>
  </si>
  <si>
    <t xml:space="preserve">neponížení požadovaných nákladů o výzisky z prodeje vyfrézovaného materiálu
neprovedené korekce ŘO za VŘ 004
</t>
  </si>
  <si>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theme="1"/>
        <rFont val="Calibri"/>
        <family val="2"/>
        <charset val="238"/>
        <scheme val="minor"/>
      </rPr>
      <t>OČEKÁVÁME ZAHÁJENÍ DAŇOVÉHO ŘÍZENÍ A VYSTAVENÍ PLATEBNÍCH VÝMĚRŮ</t>
    </r>
  </si>
  <si>
    <t>sl. 13 - nejedná se o součet sl. 14 a sl. 15, neboť u projektu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</si>
  <si>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</si>
  <si>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</si>
  <si>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příspěvkové organizace a KKN a.s.</t>
    </r>
  </si>
  <si>
    <t>Přehled finančních postihů (odvodů, korekcí a pokut) u projektů spolufinancovaných z EU včetně jiných zdrojů od roku 2008</t>
  </si>
  <si>
    <t>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dvojí financování akce ve výši 272.160,00 Kč</t>
  </si>
  <si>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theme="1"/>
        <rFont val="Calibri"/>
        <family val="2"/>
        <charset val="238"/>
        <scheme val="minor"/>
      </rPr>
      <t>KONEČNÝ STAV - PROTI KRÁCENÍ JIŽ NENÍ PŘÍPUSNÁ DALŠÍ OBRANA, ODBOR KULTURY PŘIPRAVUJE VYÚČTOVÁNÍ PROJEKTU PRO RKK A ZKK, kde bude navržen rovněž způsob řešení nezpůsobilých výdajů</t>
    </r>
  </si>
  <si>
    <r>
      <t xml:space="preserve">12.8.2010 ukončena veřejnosprávní kontrola - námitkám nebylo vyhověno;
11.5.2012 oznámení MMR ČR o provedení korekce; 
projekt není dosud  finančně vypořádán, </t>
    </r>
    <r>
      <rPr>
        <b/>
        <sz val="11"/>
        <color theme="1"/>
        <rFont val="Calibri"/>
        <family val="2"/>
        <charset val="238"/>
        <scheme val="minor"/>
      </rPr>
      <t>výše nezpůsobilých výdajů navýšena dle vyúčtování projektu o další výdaje krácené mimo VSK</t>
    </r>
    <r>
      <rPr>
        <sz val="11"/>
        <color theme="1"/>
        <rFont val="Calibri"/>
        <family val="2"/>
        <charset val="238"/>
        <scheme val="minor"/>
      </rPr>
      <t xml:space="preserve"> (chybně proplacené výdaje apod.)
Pracovní skupina pro finanční postihy se o navýšení nezpůsobilých výdajů dověděla až po při vyúčtování projektu
</t>
    </r>
    <r>
      <rPr>
        <b/>
        <sz val="11"/>
        <color theme="1"/>
        <rFont val="Calibri"/>
        <family val="2"/>
        <charset val="238"/>
        <scheme val="minor"/>
      </rPr>
      <t>KONEČNÝ STAV - PROTI KRÁCENÍ JIŽ NENÍ PŘÍPUSNÁ DALŠÍ OBRANA, ODBOR ŠKOLSTVÍ PŘIPRAVUJE VYÚČTOVÁNÍ PROJEKTU PRO RKK A ZKK, kde bude navržen rovněž způsob řešení nezpůsobilých výdajů</t>
    </r>
  </si>
  <si>
    <t>pochybení v 5 veřejných zakázkách -porušení zásady transparentnosti  - nedodržení lhůty pro podání nabídek; porušení zásady rovného zacházení; porušení zásady nediskriminace - nehodnotitelné kritérium;
krácení nákladů na drobnou administrativu
krácení části výdajů, které škola nikdy nenárokovala</t>
  </si>
  <si>
    <t>Česko – bavorský geopark - zpřístupnění dolu Jeroným v Čisté - vstupní objekt dolu Jeroným 
CZ.1.09/4.1.00/71.01170</t>
  </si>
  <si>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t>
    </r>
    <r>
      <rPr>
        <b/>
        <sz val="11"/>
        <color theme="1"/>
        <rFont val="Calibri"/>
        <family val="2"/>
        <charset val="238"/>
        <scheme val="minor"/>
      </rPr>
      <t xml:space="preserve">OČEKÁVÁNO ROZHODNUTÍ MINISTERSTVA FINANCÍ  OHLEDNĚ POVINOSTI POSKYTOVATELE DOTACE PROVÉST VRATKU VE VÝŠI 33.160.392,- KČ + ÚROKY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</si>
</sst>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sz val="11"/>
      <color theme="7"/>
      <name val="Calibri"/>
      <family val="2"/>
      <charset val="238"/>
      <scheme val="minor"/>
    </font>
    <font>
      <sz val="12"/>
      <color theme="3" tint="0.39997558519241921"/>
      <name val="Calibri"/>
      <family val="2"/>
      <charset val="238"/>
      <scheme val="minor"/>
    </font>
    <font>
      <b/>
      <sz val="16"/>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91" fillId="0" borderId="0"/>
    <xf numFmtId="0" fontId="92" fillId="0" borderId="0"/>
    <xf numFmtId="0" fontId="83" fillId="0" borderId="0"/>
    <xf numFmtId="0" fontId="93" fillId="0" borderId="0"/>
    <xf numFmtId="0" fontId="83" fillId="0" borderId="0"/>
    <xf numFmtId="0" fontId="82" fillId="0" borderId="0"/>
    <xf numFmtId="0" fontId="81" fillId="11" borderId="1"/>
    <xf numFmtId="0" fontId="79" fillId="0" borderId="0"/>
    <xf numFmtId="0" fontId="78" fillId="0" borderId="0"/>
  </cellStyleXfs>
  <cellXfs count="1116">
    <xf numFmtId="0" fontId="0" fillId="0" borderId="0" xfId="0"/>
    <xf numFmtId="0" fontId="85" fillId="0" borderId="0" xfId="0" applyFont="1"/>
    <xf numFmtId="0" fontId="87" fillId="0" borderId="1" xfId="0" applyFont="1" applyBorder="1" applyAlignment="1">
      <alignment horizontal="center" vertical="center"/>
    </xf>
    <xf numFmtId="0" fontId="8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8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8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89" fillId="0" borderId="0" xfId="0" applyNumberFormat="1" applyFont="1" applyAlignment="1">
      <alignment horizontal="center" vertical="center"/>
    </xf>
    <xf numFmtId="4" fontId="0" fillId="0" borderId="0" xfId="0" applyNumberFormat="1" applyAlignment="1">
      <alignment vertical="center"/>
    </xf>
    <xf numFmtId="0" fontId="84" fillId="0" borderId="0" xfId="0" applyFont="1"/>
    <xf numFmtId="0" fontId="0" fillId="0" borderId="0" xfId="0" applyAlignment="1">
      <alignment horizontal="center"/>
    </xf>
    <xf numFmtId="0" fontId="84" fillId="0" borderId="0" xfId="0" applyFont="1" applyFill="1"/>
    <xf numFmtId="4" fontId="90" fillId="0" borderId="1" xfId="0" applyNumberFormat="1" applyFont="1" applyBorder="1" applyAlignment="1">
      <alignment horizontal="right" vertical="center" wrapText="1"/>
    </xf>
    <xf numFmtId="0" fontId="83" fillId="0" borderId="6" xfId="5" applyBorder="1" applyAlignment="1">
      <alignment vertical="center" wrapText="1"/>
    </xf>
    <xf numFmtId="0" fontId="83" fillId="0" borderId="2" xfId="5" applyBorder="1" applyAlignment="1">
      <alignment vertical="center" wrapText="1"/>
    </xf>
    <xf numFmtId="0" fontId="83" fillId="0" borderId="2" xfId="5" applyBorder="1" applyAlignment="1">
      <alignment horizontal="left" vertical="center" wrapText="1"/>
    </xf>
    <xf numFmtId="0" fontId="0" fillId="0" borderId="1" xfId="0" applyFill="1" applyBorder="1"/>
    <xf numFmtId="4" fontId="83" fillId="0" borderId="2" xfId="0" applyNumberFormat="1" applyFont="1" applyBorder="1" applyAlignment="1">
      <alignment vertical="center"/>
    </xf>
    <xf numFmtId="0" fontId="83" fillId="0" borderId="4" xfId="0" applyFont="1" applyBorder="1" applyAlignment="1">
      <alignment vertical="center" wrapText="1"/>
    </xf>
    <xf numFmtId="0" fontId="0" fillId="0" borderId="4" xfId="0" applyBorder="1" applyAlignment="1">
      <alignment horizontal="center" vertical="center"/>
    </xf>
    <xf numFmtId="0" fontId="86" fillId="4" borderId="8" xfId="0" applyFont="1" applyFill="1" applyBorder="1" applyAlignment="1">
      <alignment horizontal="center" vertical="center" textRotation="90" wrapText="1"/>
    </xf>
    <xf numFmtId="0" fontId="86" fillId="4" borderId="8" xfId="0" applyFont="1" applyFill="1" applyBorder="1" applyAlignment="1">
      <alignment horizontal="center" vertical="center" wrapText="1"/>
    </xf>
    <xf numFmtId="0" fontId="8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86" fillId="4" borderId="11" xfId="0" applyFont="1" applyFill="1" applyBorder="1" applyAlignment="1">
      <alignment horizontal="center" vertical="center" wrapText="1"/>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9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94" fillId="0" borderId="17" xfId="5" applyFont="1" applyBorder="1" applyAlignment="1">
      <alignment horizontal="left" vertical="center" wrapText="1"/>
    </xf>
    <xf numFmtId="0" fontId="94" fillId="3" borderId="18" xfId="0" applyFont="1" applyFill="1" applyBorder="1" applyAlignment="1">
      <alignment horizontal="left" vertical="center" wrapText="1"/>
    </xf>
    <xf numFmtId="0" fontId="83" fillId="0" borderId="17" xfId="5" applyFont="1" applyBorder="1" applyAlignment="1">
      <alignment horizontal="left" vertical="center" wrapText="1"/>
    </xf>
    <xf numFmtId="0" fontId="94" fillId="0" borderId="17" xfId="5" applyFont="1" applyBorder="1" applyAlignment="1">
      <alignment vertical="center" wrapText="1"/>
    </xf>
    <xf numFmtId="0" fontId="0" fillId="0" borderId="2" xfId="0" applyFill="1" applyBorder="1"/>
    <xf numFmtId="0" fontId="8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84" fillId="3" borderId="0" xfId="0" applyFont="1" applyFill="1"/>
    <xf numFmtId="0" fontId="84" fillId="7" borderId="0" xfId="0" applyFont="1" applyFill="1"/>
    <xf numFmtId="0" fontId="84" fillId="0" borderId="0" xfId="0" applyFont="1" applyAlignment="1">
      <alignment vertical="center"/>
    </xf>
    <xf numFmtId="0" fontId="84" fillId="9" borderId="0" xfId="0" applyFont="1" applyFill="1" applyBorder="1"/>
    <xf numFmtId="0" fontId="84" fillId="8" borderId="0" xfId="0" applyFont="1" applyFill="1" applyBorder="1"/>
    <xf numFmtId="0" fontId="84" fillId="10" borderId="0" xfId="0" applyFont="1" applyFill="1"/>
    <xf numFmtId="0" fontId="0" fillId="10" borderId="18" xfId="0" applyFill="1" applyBorder="1" applyAlignment="1">
      <alignment horizontal="left" vertical="center" wrapText="1"/>
    </xf>
    <xf numFmtId="0" fontId="87" fillId="0" borderId="0" xfId="0" applyFont="1" applyBorder="1" applyAlignment="1">
      <alignment horizontal="center" vertical="center"/>
    </xf>
    <xf numFmtId="0" fontId="83" fillId="0" borderId="0" xfId="0" applyFont="1" applyBorder="1" applyAlignment="1">
      <alignment vertical="center" wrapText="1"/>
    </xf>
    <xf numFmtId="0" fontId="0" fillId="0" borderId="0" xfId="0" applyBorder="1" applyAlignment="1">
      <alignment horizontal="left" vertical="center" wrapText="1"/>
    </xf>
    <xf numFmtId="0" fontId="83" fillId="0" borderId="0" xfId="0" applyFont="1" applyBorder="1" applyAlignment="1">
      <alignment horizontal="center" vertical="center"/>
    </xf>
    <xf numFmtId="4" fontId="83" fillId="0" borderId="0" xfId="0" applyNumberFormat="1" applyFont="1" applyBorder="1" applyAlignment="1">
      <alignment vertical="center"/>
    </xf>
    <xf numFmtId="4" fontId="90" fillId="0" borderId="0" xfId="0" applyNumberFormat="1" applyFont="1" applyBorder="1" applyAlignment="1">
      <alignment horizontal="right" vertical="center" wrapText="1"/>
    </xf>
    <xf numFmtId="0" fontId="9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97" fillId="0" borderId="1" xfId="0" applyFont="1" applyBorder="1" applyAlignment="1">
      <alignment horizontal="center" vertical="center"/>
    </xf>
    <xf numFmtId="0" fontId="90" fillId="0" borderId="1" xfId="0" applyFont="1" applyBorder="1" applyAlignment="1">
      <alignment vertical="center" wrapText="1"/>
    </xf>
    <xf numFmtId="0" fontId="90" fillId="0" borderId="2" xfId="5" applyFont="1" applyBorder="1" applyAlignment="1">
      <alignment horizontal="left" vertical="center" wrapText="1"/>
    </xf>
    <xf numFmtId="0" fontId="90" fillId="0" borderId="1" xfId="0" applyFont="1" applyBorder="1" applyAlignment="1">
      <alignment horizontal="center" vertical="center"/>
    </xf>
    <xf numFmtId="0" fontId="90" fillId="0" borderId="1" xfId="0" applyFont="1" applyBorder="1"/>
    <xf numFmtId="0" fontId="90" fillId="0" borderId="2" xfId="0" applyFont="1" applyBorder="1"/>
    <xf numFmtId="0" fontId="90" fillId="0" borderId="17" xfId="5" applyFont="1" applyBorder="1" applyAlignment="1">
      <alignment vertical="center" wrapText="1"/>
    </xf>
    <xf numFmtId="0" fontId="90" fillId="10" borderId="18" xfId="0" applyFont="1" applyFill="1" applyBorder="1" applyAlignment="1">
      <alignment horizontal="left" vertical="center" wrapText="1"/>
    </xf>
    <xf numFmtId="0" fontId="98" fillId="0" borderId="5" xfId="0" applyFont="1" applyFill="1" applyBorder="1" applyAlignment="1">
      <alignment horizontal="center" vertical="center" wrapText="1"/>
    </xf>
    <xf numFmtId="0" fontId="98" fillId="0" borderId="2" xfId="0" applyFont="1" applyFill="1" applyBorder="1" applyAlignment="1">
      <alignment horizontal="center" vertical="center" wrapText="1"/>
    </xf>
    <xf numFmtId="0" fontId="80" fillId="0" borderId="1" xfId="0" applyFont="1" applyBorder="1" applyAlignment="1">
      <alignment vertical="center" wrapText="1"/>
    </xf>
    <xf numFmtId="0" fontId="80" fillId="10" borderId="18" xfId="5" applyFont="1" applyFill="1" applyBorder="1" applyAlignment="1">
      <alignment horizontal="left" vertical="center" wrapText="1"/>
    </xf>
    <xf numFmtId="0" fontId="80" fillId="0" borderId="18" xfId="5" applyFont="1" applyBorder="1" applyAlignment="1">
      <alignment horizontal="left" vertical="center" wrapText="1"/>
    </xf>
    <xf numFmtId="0" fontId="8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9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95" fillId="0" borderId="5" xfId="0" applyFont="1" applyFill="1" applyBorder="1"/>
    <xf numFmtId="0" fontId="95" fillId="0" borderId="1" xfId="0" applyFont="1" applyFill="1" applyBorder="1"/>
    <xf numFmtId="0" fontId="95" fillId="0" borderId="2" xfId="0" applyFont="1" applyFill="1" applyBorder="1"/>
    <xf numFmtId="0" fontId="0" fillId="0" borderId="6" xfId="0" applyBorder="1" applyAlignment="1">
      <alignment horizontal="left" vertical="center" wrapText="1"/>
    </xf>
    <xf numFmtId="0" fontId="9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87" fillId="0" borderId="8" xfId="0" applyFont="1" applyBorder="1" applyAlignment="1">
      <alignment horizontal="center" vertical="center"/>
    </xf>
    <xf numFmtId="0" fontId="83" fillId="0" borderId="8" xfId="0" applyFont="1" applyBorder="1" applyAlignment="1">
      <alignment vertical="center" wrapText="1"/>
    </xf>
    <xf numFmtId="0" fontId="83" fillId="2" borderId="8" xfId="0" applyFont="1" applyFill="1" applyBorder="1" applyAlignment="1">
      <alignment vertical="center" wrapText="1"/>
    </xf>
    <xf numFmtId="0" fontId="0" fillId="0" borderId="9" xfId="0" applyBorder="1" applyAlignment="1">
      <alignment horizontal="left" vertical="center" wrapText="1"/>
    </xf>
    <xf numFmtId="0" fontId="83" fillId="0" borderId="8" xfId="0" applyFont="1" applyBorder="1" applyAlignment="1">
      <alignment horizontal="center" vertical="center"/>
    </xf>
    <xf numFmtId="4" fontId="83" fillId="0" borderId="8" xfId="0" applyNumberFormat="1" applyFont="1" applyBorder="1" applyAlignment="1">
      <alignment vertical="center"/>
    </xf>
    <xf numFmtId="4" fontId="90" fillId="0" borderId="8" xfId="0" applyNumberFormat="1" applyFont="1" applyBorder="1" applyAlignment="1">
      <alignment horizontal="right" vertical="center" wrapText="1"/>
    </xf>
    <xf numFmtId="4" fontId="83" fillId="0" borderId="9" xfId="0" applyNumberFormat="1" applyFont="1" applyBorder="1" applyAlignment="1">
      <alignment vertical="center"/>
    </xf>
    <xf numFmtId="0" fontId="9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84" fillId="0" borderId="4" xfId="0" applyFont="1" applyBorder="1" applyAlignment="1">
      <alignment vertical="center" wrapText="1"/>
    </xf>
    <xf numFmtId="0" fontId="84" fillId="2" borderId="4" xfId="0" applyFont="1" applyFill="1" applyBorder="1" applyAlignment="1">
      <alignment vertical="center" wrapText="1"/>
    </xf>
    <xf numFmtId="4" fontId="84" fillId="0" borderId="4" xfId="0" applyNumberFormat="1" applyFont="1" applyBorder="1" applyAlignment="1">
      <alignment vertical="center"/>
    </xf>
    <xf numFmtId="4" fontId="100" fillId="0" borderId="4" xfId="0" applyNumberFormat="1" applyFont="1" applyBorder="1" applyAlignment="1">
      <alignment horizontal="right" vertical="center" wrapText="1"/>
    </xf>
    <xf numFmtId="4" fontId="84" fillId="0" borderId="6" xfId="0" applyNumberFormat="1" applyFont="1" applyBorder="1" applyAlignment="1">
      <alignment vertical="center"/>
    </xf>
    <xf numFmtId="0" fontId="94" fillId="0" borderId="1" xfId="0" applyFont="1" applyBorder="1" applyAlignment="1">
      <alignment vertical="center" wrapText="1"/>
    </xf>
    <xf numFmtId="0" fontId="94" fillId="0" borderId="2" xfId="5" applyFont="1" applyBorder="1" applyAlignment="1">
      <alignment horizontal="left" vertical="center" wrapText="1"/>
    </xf>
    <xf numFmtId="0" fontId="94" fillId="0" borderId="1" xfId="0" applyFont="1" applyBorder="1" applyAlignment="1">
      <alignment horizontal="center" vertical="center"/>
    </xf>
    <xf numFmtId="4" fontId="94" fillId="0" borderId="1" xfId="0" applyNumberFormat="1" applyFont="1" applyBorder="1" applyAlignment="1">
      <alignment horizontal="right" vertical="center" wrapText="1"/>
    </xf>
    <xf numFmtId="0" fontId="94" fillId="0" borderId="2" xfId="0" applyFont="1" applyBorder="1"/>
    <xf numFmtId="0" fontId="94" fillId="0" borderId="18" xfId="0" applyFont="1" applyFill="1" applyBorder="1" applyAlignment="1">
      <alignment horizontal="left" vertical="center" wrapText="1"/>
    </xf>
    <xf numFmtId="4" fontId="90" fillId="0" borderId="4" xfId="0" applyNumberFormat="1" applyFont="1" applyBorder="1" applyAlignment="1">
      <alignment vertical="center"/>
    </xf>
    <xf numFmtId="0" fontId="0" fillId="0" borderId="0" xfId="0" applyBorder="1"/>
    <xf numFmtId="0" fontId="87" fillId="0" borderId="4" xfId="0" applyFont="1" applyBorder="1" applyAlignment="1">
      <alignment horizontal="center" vertical="center"/>
    </xf>
    <xf numFmtId="0" fontId="83" fillId="0" borderId="4" xfId="5" applyBorder="1" applyAlignment="1">
      <alignment horizontal="left" vertical="center" wrapText="1"/>
    </xf>
    <xf numFmtId="0" fontId="83" fillId="0" borderId="4" xfId="0" applyFont="1" applyBorder="1" applyAlignment="1">
      <alignment horizontal="center" vertical="center"/>
    </xf>
    <xf numFmtId="4" fontId="8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94" fillId="0" borderId="2" xfId="0" applyNumberFormat="1" applyFont="1" applyBorder="1" applyAlignment="1">
      <alignment horizontal="right" vertical="center" wrapText="1"/>
    </xf>
    <xf numFmtId="4" fontId="90" fillId="0" borderId="6" xfId="0" applyNumberFormat="1" applyFont="1" applyBorder="1" applyAlignment="1">
      <alignment vertical="center"/>
    </xf>
    <xf numFmtId="4" fontId="90" fillId="0" borderId="9" xfId="0" applyNumberFormat="1" applyFont="1" applyBorder="1" applyAlignment="1">
      <alignment horizontal="right" vertical="center" wrapText="1"/>
    </xf>
    <xf numFmtId="4" fontId="10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84" fillId="0" borderId="0" xfId="0" applyFont="1" applyFill="1" applyAlignment="1">
      <alignment vertical="center"/>
    </xf>
    <xf numFmtId="0" fontId="84" fillId="0" borderId="0" xfId="0" applyFont="1" applyFill="1" applyBorder="1"/>
    <xf numFmtId="0" fontId="0" fillId="0" borderId="28" xfId="0" applyBorder="1"/>
    <xf numFmtId="0" fontId="0" fillId="0" borderId="27" xfId="0" applyBorder="1"/>
    <xf numFmtId="4" fontId="9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79" fillId="0" borderId="0" xfId="0" applyFont="1" applyBorder="1" applyAlignment="1">
      <alignment vertical="center" wrapText="1"/>
    </xf>
    <xf numFmtId="0" fontId="79" fillId="0" borderId="0" xfId="0" applyFont="1" applyBorder="1" applyAlignment="1">
      <alignment horizontal="center" vertical="center"/>
    </xf>
    <xf numFmtId="4" fontId="79" fillId="0" borderId="0" xfId="0" applyNumberFormat="1" applyFont="1" applyBorder="1" applyAlignment="1">
      <alignment vertical="center"/>
    </xf>
    <xf numFmtId="0" fontId="79" fillId="0" borderId="0" xfId="0" applyFont="1" applyFill="1" applyBorder="1" applyAlignment="1">
      <alignment vertical="center" wrapText="1"/>
    </xf>
    <xf numFmtId="0" fontId="79" fillId="0" borderId="0" xfId="0" applyFont="1" applyFill="1" applyBorder="1" applyAlignment="1">
      <alignment horizontal="center" vertical="center"/>
    </xf>
    <xf numFmtId="4" fontId="79" fillId="0" borderId="0" xfId="0" applyNumberFormat="1" applyFont="1" applyFill="1" applyBorder="1" applyAlignment="1">
      <alignment horizontal="center" vertical="center"/>
    </xf>
    <xf numFmtId="0" fontId="101" fillId="0" borderId="0" xfId="0" applyFont="1" applyFill="1"/>
    <xf numFmtId="0" fontId="101" fillId="0" borderId="0" xfId="0" applyFont="1" applyFill="1" applyBorder="1" applyAlignment="1"/>
    <xf numFmtId="0" fontId="104" fillId="0" borderId="0" xfId="0" applyFont="1"/>
    <xf numFmtId="10" fontId="0" fillId="0" borderId="0" xfId="0" applyNumberFormat="1"/>
    <xf numFmtId="0" fontId="103" fillId="0" borderId="0" xfId="0" applyFont="1"/>
    <xf numFmtId="10" fontId="103" fillId="0" borderId="0" xfId="0" applyNumberFormat="1" applyFont="1"/>
    <xf numFmtId="0" fontId="103" fillId="0" borderId="0" xfId="0" applyFont="1" applyAlignment="1">
      <alignment horizontal="left" vertical="top"/>
    </xf>
    <xf numFmtId="0" fontId="105" fillId="0" borderId="0" xfId="0" applyFont="1" applyBorder="1" applyAlignment="1">
      <alignment horizontal="left" vertical="center" wrapText="1"/>
    </xf>
    <xf numFmtId="10" fontId="90" fillId="0" borderId="0" xfId="0" applyNumberFormat="1" applyFont="1" applyBorder="1" applyAlignment="1">
      <alignment horizontal="left" vertical="center" wrapText="1"/>
    </xf>
    <xf numFmtId="10" fontId="90" fillId="0" borderId="0" xfId="0" applyNumberFormat="1" applyFont="1" applyBorder="1" applyAlignment="1">
      <alignment horizontal="center" vertical="center" wrapText="1"/>
    </xf>
    <xf numFmtId="0" fontId="105" fillId="0" borderId="0" xfId="0" applyFont="1" applyFill="1" applyBorder="1" applyAlignment="1">
      <alignment horizontal="left" vertical="center" wrapText="1"/>
    </xf>
    <xf numFmtId="4" fontId="105" fillId="0" borderId="0" xfId="0" applyNumberFormat="1" applyFont="1" applyFill="1" applyBorder="1" applyAlignment="1">
      <alignment horizontal="right" vertical="center"/>
    </xf>
    <xf numFmtId="4" fontId="106" fillId="0" borderId="0" xfId="0" applyNumberFormat="1" applyFont="1" applyFill="1" applyBorder="1" applyAlignment="1">
      <alignment horizontal="right" vertical="center"/>
    </xf>
    <xf numFmtId="10" fontId="105" fillId="0" borderId="0" xfId="0" applyNumberFormat="1" applyFont="1" applyFill="1" applyBorder="1" applyAlignment="1">
      <alignment horizontal="center" vertical="center"/>
    </xf>
    <xf numFmtId="0" fontId="85" fillId="0" borderId="0" xfId="0" applyFont="1" applyFill="1" applyBorder="1" applyAlignment="1">
      <alignment vertical="center"/>
    </xf>
    <xf numFmtId="0" fontId="110" fillId="17" borderId="8" xfId="0" applyFont="1" applyFill="1" applyBorder="1" applyAlignment="1">
      <alignment horizontal="center" vertical="center" wrapText="1"/>
    </xf>
    <xf numFmtId="0" fontId="110" fillId="17" borderId="9" xfId="0" applyFont="1" applyFill="1" applyBorder="1" applyAlignment="1">
      <alignment horizontal="center" vertical="center" wrapText="1"/>
    </xf>
    <xf numFmtId="0" fontId="110" fillId="17" borderId="23" xfId="0" applyFont="1" applyFill="1" applyBorder="1" applyAlignment="1">
      <alignment horizontal="center" vertical="center" wrapText="1"/>
    </xf>
    <xf numFmtId="0" fontId="110" fillId="17" borderId="11" xfId="0" applyFont="1" applyFill="1" applyBorder="1" applyAlignment="1">
      <alignment horizontal="center"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77" fillId="2" borderId="5" xfId="0" applyNumberFormat="1" applyFont="1" applyFill="1" applyBorder="1" applyAlignment="1">
      <alignment horizontal="right" vertical="center"/>
    </xf>
    <xf numFmtId="4" fontId="77" fillId="0" borderId="2" xfId="0" applyNumberFormat="1" applyFont="1" applyBorder="1" applyAlignment="1">
      <alignment horizontal="right" vertical="center"/>
    </xf>
    <xf numFmtId="0" fontId="77" fillId="0" borderId="5" xfId="0" applyFont="1" applyBorder="1" applyAlignment="1">
      <alignment vertical="center" wrapText="1"/>
    </xf>
    <xf numFmtId="4" fontId="95" fillId="2" borderId="5" xfId="0" applyNumberFormat="1" applyFont="1" applyFill="1" applyBorder="1" applyAlignment="1">
      <alignment horizontal="right" vertical="center"/>
    </xf>
    <xf numFmtId="4" fontId="77" fillId="2" borderId="2" xfId="0" applyNumberFormat="1" applyFont="1" applyFill="1" applyBorder="1" applyAlignment="1">
      <alignment horizontal="right" vertical="center"/>
    </xf>
    <xf numFmtId="0" fontId="77" fillId="2" borderId="2" xfId="0" applyFont="1" applyFill="1" applyBorder="1" applyAlignment="1">
      <alignment horizontal="left" vertical="center" wrapText="1"/>
    </xf>
    <xf numFmtId="4" fontId="108" fillId="2" borderId="5" xfId="0" applyNumberFormat="1" applyFont="1" applyFill="1" applyBorder="1" applyAlignment="1">
      <alignment horizontal="right" vertical="center"/>
    </xf>
    <xf numFmtId="4" fontId="94" fillId="2" borderId="22" xfId="0" applyNumberFormat="1" applyFont="1" applyFill="1" applyBorder="1" applyAlignment="1">
      <alignment horizontal="right" vertical="center" wrapText="1"/>
    </xf>
    <xf numFmtId="4" fontId="95" fillId="2" borderId="5" xfId="0" applyNumberFormat="1" applyFont="1" applyFill="1" applyBorder="1" applyAlignment="1">
      <alignment horizontal="right" vertical="center" wrapText="1"/>
    </xf>
    <xf numFmtId="0" fontId="77" fillId="0" borderId="2" xfId="0" applyFont="1" applyFill="1" applyBorder="1" applyAlignment="1">
      <alignment horizontal="left" vertical="center" wrapText="1"/>
    </xf>
    <xf numFmtId="0" fontId="77" fillId="0" borderId="1" xfId="0" applyFont="1" applyFill="1" applyBorder="1" applyAlignment="1">
      <alignment vertical="center" wrapText="1"/>
    </xf>
    <xf numFmtId="0" fontId="77" fillId="0" borderId="1" xfId="8" applyFont="1" applyBorder="1" applyAlignment="1">
      <alignment vertical="center" wrapText="1"/>
    </xf>
    <xf numFmtId="0" fontId="77" fillId="0" borderId="1" xfId="0" applyFont="1" applyBorder="1" applyAlignment="1">
      <alignment horizontal="left" vertical="center"/>
    </xf>
    <xf numFmtId="4" fontId="77" fillId="0" borderId="1" xfId="0" applyNumberFormat="1" applyFont="1" applyBorder="1" applyAlignment="1">
      <alignment horizontal="right" vertical="center"/>
    </xf>
    <xf numFmtId="0" fontId="77" fillId="0" borderId="1" xfId="0" applyFont="1" applyBorder="1" applyAlignment="1">
      <alignment horizontal="left" vertical="center" wrapText="1"/>
    </xf>
    <xf numFmtId="0" fontId="77" fillId="0" borderId="1" xfId="0" applyFont="1" applyFill="1" applyBorder="1" applyAlignment="1">
      <alignment horizontal="left" vertical="center"/>
    </xf>
    <xf numFmtId="0" fontId="77" fillId="2" borderId="1" xfId="0" applyFont="1" applyFill="1" applyBorder="1" applyAlignment="1">
      <alignment vertical="center" wrapText="1"/>
    </xf>
    <xf numFmtId="0" fontId="77" fillId="2" borderId="2" xfId="0" applyFont="1" applyFill="1" applyBorder="1" applyAlignment="1">
      <alignment vertical="center" wrapText="1"/>
    </xf>
    <xf numFmtId="4" fontId="77" fillId="0" borderId="2" xfId="0" applyNumberFormat="1" applyFont="1" applyFill="1" applyBorder="1" applyAlignment="1">
      <alignment horizontal="right" vertical="center"/>
    </xf>
    <xf numFmtId="0" fontId="77" fillId="0" borderId="2" xfId="0" applyFont="1" applyBorder="1" applyAlignment="1">
      <alignment horizontal="right"/>
    </xf>
    <xf numFmtId="0" fontId="77" fillId="2" borderId="1" xfId="0" applyFont="1" applyFill="1" applyBorder="1" applyAlignment="1">
      <alignment horizontal="left" vertical="center"/>
    </xf>
    <xf numFmtId="2" fontId="95" fillId="2" borderId="5" xfId="0" applyNumberFormat="1" applyFont="1" applyFill="1" applyBorder="1" applyAlignment="1">
      <alignment horizontal="right" vertical="center"/>
    </xf>
    <xf numFmtId="0" fontId="88" fillId="0" borderId="1" xfId="8" applyFont="1" applyBorder="1" applyAlignment="1">
      <alignment horizontal="left" vertical="center" wrapText="1"/>
    </xf>
    <xf numFmtId="4" fontId="88" fillId="0" borderId="1" xfId="0" applyNumberFormat="1" applyFont="1" applyFill="1" applyBorder="1" applyAlignment="1">
      <alignment horizontal="right" vertical="center"/>
    </xf>
    <xf numFmtId="4" fontId="77" fillId="0" borderId="22" xfId="0" applyNumberFormat="1" applyFont="1" applyFill="1" applyBorder="1" applyAlignment="1">
      <alignment horizontal="right" vertical="center"/>
    </xf>
    <xf numFmtId="0" fontId="94" fillId="0" borderId="1" xfId="0" applyFont="1" applyFill="1" applyBorder="1" applyAlignment="1">
      <alignment vertical="center" wrapText="1"/>
    </xf>
    <xf numFmtId="0" fontId="94" fillId="0" borderId="1" xfId="0" applyFont="1" applyBorder="1" applyAlignment="1">
      <alignment horizontal="left" vertical="center"/>
    </xf>
    <xf numFmtId="0" fontId="94" fillId="2" borderId="1" xfId="0" applyFont="1" applyFill="1" applyBorder="1" applyAlignment="1">
      <alignment horizontal="left" vertical="center" wrapText="1"/>
    </xf>
    <xf numFmtId="0" fontId="94" fillId="0" borderId="2" xfId="0" applyFont="1" applyFill="1" applyBorder="1" applyAlignment="1">
      <alignment horizontal="left" vertical="center" wrapText="1"/>
    </xf>
    <xf numFmtId="4" fontId="94" fillId="2" borderId="22" xfId="0" applyNumberFormat="1" applyFont="1" applyFill="1" applyBorder="1" applyAlignment="1">
      <alignment horizontal="right" vertical="center"/>
    </xf>
    <xf numFmtId="0" fontId="94" fillId="0" borderId="4" xfId="9" applyFont="1" applyBorder="1" applyAlignment="1">
      <alignment horizontal="left" vertical="center" wrapText="1"/>
    </xf>
    <xf numFmtId="4" fontId="94" fillId="0" borderId="2" xfId="0" applyNumberFormat="1" applyFont="1" applyBorder="1" applyAlignment="1">
      <alignment horizontal="right" vertical="center"/>
    </xf>
    <xf numFmtId="0" fontId="77" fillId="2" borderId="6" xfId="0" applyFont="1" applyFill="1" applyBorder="1" applyAlignment="1">
      <alignment horizontal="left" vertical="center" wrapText="1"/>
    </xf>
    <xf numFmtId="0" fontId="88" fillId="0" borderId="1" xfId="0" applyFont="1" applyBorder="1" applyAlignment="1">
      <alignment vertical="center" wrapText="1"/>
    </xf>
    <xf numFmtId="0" fontId="77" fillId="0" borderId="1" xfId="0" applyFont="1" applyBorder="1" applyAlignment="1">
      <alignment vertical="center"/>
    </xf>
    <xf numFmtId="10" fontId="100" fillId="17" borderId="43" xfId="0" applyNumberFormat="1" applyFont="1" applyFill="1" applyBorder="1" applyAlignment="1">
      <alignment horizontal="center" vertical="center" wrapText="1"/>
    </xf>
    <xf numFmtId="0" fontId="84" fillId="0" borderId="6" xfId="0" applyFont="1" applyBorder="1" applyAlignment="1">
      <alignment horizontal="center" vertical="center"/>
    </xf>
    <xf numFmtId="0" fontId="94" fillId="0" borderId="24" xfId="0" applyFont="1" applyFill="1" applyBorder="1" applyAlignment="1">
      <alignment horizontal="center" vertical="center"/>
    </xf>
    <xf numFmtId="4" fontId="98" fillId="0" borderId="12" xfId="0" applyNumberFormat="1" applyFont="1" applyFill="1" applyBorder="1" applyAlignment="1">
      <alignment vertical="center"/>
    </xf>
    <xf numFmtId="4" fontId="94" fillId="0" borderId="6" xfId="0" applyNumberFormat="1" applyFont="1" applyFill="1" applyBorder="1" applyAlignment="1">
      <alignment horizontal="center" vertical="center" wrapText="1"/>
    </xf>
    <xf numFmtId="4" fontId="94" fillId="0" borderId="24" xfId="0" applyNumberFormat="1" applyFont="1" applyFill="1" applyBorder="1" applyAlignment="1">
      <alignment horizontal="center" vertical="center" wrapText="1"/>
    </xf>
    <xf numFmtId="0" fontId="94" fillId="0" borderId="22" xfId="0" applyFont="1" applyBorder="1" applyAlignment="1">
      <alignment horizontal="center" vertical="center"/>
    </xf>
    <xf numFmtId="4" fontId="107" fillId="0" borderId="5" xfId="0" applyNumberFormat="1" applyFont="1" applyFill="1" applyBorder="1" applyAlignment="1">
      <alignment vertical="center"/>
    </xf>
    <xf numFmtId="4" fontId="84" fillId="0" borderId="2" xfId="0" applyNumberFormat="1" applyFont="1" applyFill="1" applyBorder="1" applyAlignment="1">
      <alignment vertical="center"/>
    </xf>
    <xf numFmtId="4" fontId="77" fillId="0" borderId="22" xfId="0" applyNumberFormat="1" applyFont="1" applyBorder="1" applyAlignment="1">
      <alignment horizontal="center" vertical="center"/>
    </xf>
    <xf numFmtId="0" fontId="86" fillId="17" borderId="33" xfId="0" applyFont="1" applyFill="1" applyBorder="1" applyAlignment="1">
      <alignment vertical="center" wrapText="1"/>
    </xf>
    <xf numFmtId="0" fontId="109" fillId="17" borderId="31" xfId="0" applyFont="1" applyFill="1" applyBorder="1" applyAlignment="1">
      <alignment vertical="center" wrapText="1"/>
    </xf>
    <xf numFmtId="0" fontId="109" fillId="17" borderId="37" xfId="0" applyFont="1" applyFill="1" applyBorder="1" applyAlignment="1">
      <alignment vertical="center" wrapText="1"/>
    </xf>
    <xf numFmtId="4" fontId="94" fillId="2" borderId="18" xfId="0" applyNumberFormat="1" applyFont="1" applyFill="1" applyBorder="1" applyAlignment="1">
      <alignment horizontal="right" vertical="center" wrapText="1"/>
    </xf>
    <xf numFmtId="0" fontId="0" fillId="0" borderId="0" xfId="0" applyAlignment="1">
      <alignment horizontal="left"/>
    </xf>
    <xf numFmtId="0" fontId="85" fillId="0" borderId="0" xfId="0" applyFont="1" applyAlignment="1">
      <alignment horizontal="right"/>
    </xf>
    <xf numFmtId="0" fontId="76" fillId="2" borderId="1" xfId="0" applyFont="1" applyFill="1" applyBorder="1" applyAlignment="1">
      <alignment horizontal="left" vertical="center" wrapText="1"/>
    </xf>
    <xf numFmtId="0" fontId="88" fillId="0" borderId="1" xfId="5" applyFont="1" applyBorder="1" applyAlignment="1">
      <alignment horizontal="left" vertical="center" wrapText="1"/>
    </xf>
    <xf numFmtId="4" fontId="94" fillId="0" borderId="22" xfId="0" applyNumberFormat="1" applyFont="1" applyFill="1" applyBorder="1" applyAlignment="1">
      <alignment vertical="center"/>
    </xf>
    <xf numFmtId="4" fontId="94" fillId="0" borderId="2" xfId="0" applyNumberFormat="1" applyFont="1" applyFill="1" applyBorder="1" applyAlignment="1">
      <alignment vertical="center"/>
    </xf>
    <xf numFmtId="0" fontId="109" fillId="5" borderId="7" xfId="0" applyFont="1" applyFill="1" applyBorder="1" applyAlignment="1">
      <alignment horizontal="left" vertical="center" wrapText="1"/>
    </xf>
    <xf numFmtId="0" fontId="110" fillId="5" borderId="8" xfId="0" applyFont="1" applyFill="1" applyBorder="1" applyAlignment="1">
      <alignment horizontal="center" vertical="center" wrapText="1"/>
    </xf>
    <xf numFmtId="0" fontId="110" fillId="5" borderId="9" xfId="0" applyFont="1" applyFill="1" applyBorder="1" applyAlignment="1">
      <alignment horizontal="center" vertical="center" wrapText="1"/>
    </xf>
    <xf numFmtId="0" fontId="110" fillId="5" borderId="11" xfId="0" applyFont="1" applyFill="1" applyBorder="1" applyAlignment="1">
      <alignment horizontal="center" vertical="center" wrapText="1"/>
    </xf>
    <xf numFmtId="0" fontId="109" fillId="5" borderId="31" xfId="0" applyFont="1" applyFill="1" applyBorder="1" applyAlignment="1">
      <alignment horizontal="left" vertical="center" wrapText="1"/>
    </xf>
    <xf numFmtId="4" fontId="95" fillId="0" borderId="5" xfId="0" applyNumberFormat="1" applyFont="1" applyBorder="1" applyAlignment="1">
      <alignment vertical="center"/>
    </xf>
    <xf numFmtId="0" fontId="98" fillId="0" borderId="27" xfId="0" applyFont="1" applyFill="1" applyBorder="1" applyAlignment="1">
      <alignment horizontal="right" vertical="center" wrapText="1"/>
    </xf>
    <xf numFmtId="0" fontId="94" fillId="0" borderId="27" xfId="0" applyFont="1" applyFill="1" applyBorder="1" applyAlignment="1">
      <alignment horizontal="center" vertical="center"/>
    </xf>
    <xf numFmtId="0" fontId="95" fillId="0" borderId="27" xfId="0" applyFont="1" applyFill="1" applyBorder="1" applyAlignment="1">
      <alignment horizontal="center" vertical="center"/>
    </xf>
    <xf numFmtId="0" fontId="95" fillId="0" borderId="46" xfId="0" applyFont="1" applyFill="1" applyBorder="1" applyAlignment="1">
      <alignment horizontal="center" vertical="center"/>
    </xf>
    <xf numFmtId="10" fontId="84" fillId="5" borderId="45" xfId="0" applyNumberFormat="1" applyFont="1" applyFill="1" applyBorder="1" applyAlignment="1">
      <alignment horizontal="center" vertical="center"/>
    </xf>
    <xf numFmtId="0" fontId="76" fillId="0" borderId="15" xfId="0" applyFont="1" applyBorder="1" applyAlignment="1">
      <alignment horizontal="center" vertical="center"/>
    </xf>
    <xf numFmtId="0" fontId="76" fillId="0" borderId="17" xfId="0" applyFont="1" applyBorder="1" applyAlignment="1">
      <alignment horizontal="center" vertical="center"/>
    </xf>
    <xf numFmtId="4" fontId="0" fillId="0" borderId="0" xfId="0" applyNumberFormat="1" applyAlignment="1">
      <alignment horizontal="center" vertical="center"/>
    </xf>
    <xf numFmtId="0" fontId="75" fillId="0" borderId="1" xfId="8" applyFont="1" applyFill="1" applyBorder="1" applyAlignment="1">
      <alignment horizontal="left" vertical="center" wrapText="1"/>
    </xf>
    <xf numFmtId="0" fontId="75" fillId="2" borderId="2" xfId="0" applyFont="1" applyFill="1" applyBorder="1" applyAlignment="1">
      <alignment horizontal="left" vertical="center" wrapText="1"/>
    </xf>
    <xf numFmtId="4" fontId="95" fillId="2" borderId="12" xfId="0" applyNumberFormat="1" applyFont="1" applyFill="1" applyBorder="1" applyAlignment="1">
      <alignment horizontal="right" vertical="center"/>
    </xf>
    <xf numFmtId="0" fontId="112" fillId="0" borderId="0" xfId="0" applyFont="1"/>
    <xf numFmtId="0" fontId="116" fillId="18" borderId="4" xfId="0" applyFont="1" applyFill="1" applyBorder="1" applyAlignment="1">
      <alignment horizontal="left" vertical="center" wrapText="1"/>
    </xf>
    <xf numFmtId="0" fontId="116" fillId="18" borderId="6" xfId="0" applyFont="1" applyFill="1" applyBorder="1" applyAlignment="1">
      <alignment horizontal="left" vertical="center" wrapText="1"/>
    </xf>
    <xf numFmtId="0" fontId="117" fillId="18" borderId="24" xfId="0" applyFont="1" applyFill="1" applyBorder="1" applyAlignment="1">
      <alignment horizontal="center" vertical="center" wrapText="1"/>
    </xf>
    <xf numFmtId="0" fontId="117" fillId="18" borderId="1" xfId="0" applyFont="1" applyFill="1" applyBorder="1" applyAlignment="1">
      <alignment horizontal="center" vertical="center" wrapText="1"/>
    </xf>
    <xf numFmtId="0" fontId="117" fillId="18" borderId="2" xfId="0" applyFont="1" applyFill="1" applyBorder="1" applyAlignment="1">
      <alignment horizontal="center" vertical="center" wrapText="1"/>
    </xf>
    <xf numFmtId="0" fontId="117" fillId="18" borderId="15" xfId="0" applyFont="1" applyFill="1" applyBorder="1" applyAlignment="1">
      <alignment horizontal="center" vertical="center" wrapText="1"/>
    </xf>
    <xf numFmtId="4" fontId="112" fillId="17" borderId="24" xfId="0" applyNumberFormat="1" applyFont="1" applyFill="1" applyBorder="1" applyAlignment="1">
      <alignment horizontal="right" vertical="center" wrapText="1"/>
    </xf>
    <xf numFmtId="4" fontId="112" fillId="17" borderId="24" xfId="0" applyNumberFormat="1" applyFont="1" applyFill="1" applyBorder="1" applyAlignment="1">
      <alignment horizontal="right" vertical="center"/>
    </xf>
    <xf numFmtId="4" fontId="112" fillId="17" borderId="12" xfId="0" applyNumberFormat="1" applyFont="1" applyFill="1" applyBorder="1" applyAlignment="1">
      <alignment horizontal="right" vertical="center"/>
    </xf>
    <xf numFmtId="4" fontId="103" fillId="17" borderId="1" xfId="0" applyNumberFormat="1" applyFont="1" applyFill="1" applyBorder="1" applyAlignment="1">
      <alignment horizontal="right" vertical="center"/>
    </xf>
    <xf numFmtId="4" fontId="103" fillId="17" borderId="2" xfId="0" applyNumberFormat="1" applyFont="1" applyFill="1" applyBorder="1" applyAlignment="1">
      <alignment horizontal="right" vertical="center"/>
    </xf>
    <xf numFmtId="10" fontId="112" fillId="17" borderId="15" xfId="0" applyNumberFormat="1" applyFont="1" applyFill="1" applyBorder="1" applyAlignment="1">
      <alignment horizontal="center" vertical="center"/>
    </xf>
    <xf numFmtId="4" fontId="112" fillId="5" borderId="22" xfId="0" applyNumberFormat="1" applyFont="1" applyFill="1" applyBorder="1" applyAlignment="1">
      <alignment horizontal="right" vertical="center" wrapText="1"/>
    </xf>
    <xf numFmtId="4" fontId="112" fillId="5" borderId="22" xfId="0" applyNumberFormat="1" applyFont="1" applyFill="1" applyBorder="1" applyAlignment="1">
      <alignment horizontal="right" vertical="center"/>
    </xf>
    <xf numFmtId="4" fontId="112" fillId="5" borderId="5" xfId="0" applyNumberFormat="1" applyFont="1" applyFill="1" applyBorder="1" applyAlignment="1">
      <alignment horizontal="right" vertical="center"/>
    </xf>
    <xf numFmtId="4" fontId="103" fillId="5" borderId="1" xfId="0" applyNumberFormat="1" applyFont="1" applyFill="1" applyBorder="1" applyAlignment="1">
      <alignment horizontal="right" vertical="center"/>
    </xf>
    <xf numFmtId="4" fontId="103" fillId="5" borderId="2" xfId="0" applyNumberFormat="1" applyFont="1" applyFill="1" applyBorder="1" applyAlignment="1">
      <alignment horizontal="right" vertical="center"/>
    </xf>
    <xf numFmtId="10" fontId="112" fillId="5" borderId="17" xfId="0" applyNumberFormat="1" applyFont="1" applyFill="1" applyBorder="1" applyAlignment="1">
      <alignment horizontal="center" vertical="center"/>
    </xf>
    <xf numFmtId="10" fontId="112" fillId="5" borderId="15" xfId="0" applyNumberFormat="1" applyFont="1" applyFill="1" applyBorder="1" applyAlignment="1">
      <alignment horizontal="center" vertical="center"/>
    </xf>
    <xf numFmtId="0" fontId="103" fillId="0" borderId="23" xfId="0" applyFont="1" applyBorder="1" applyAlignment="1">
      <alignment horizontal="center" vertical="center" wrapText="1"/>
    </xf>
    <xf numFmtId="4" fontId="112" fillId="0" borderId="23" xfId="0" applyNumberFormat="1" applyFont="1" applyBorder="1" applyAlignment="1">
      <alignment horizontal="right" vertical="center"/>
    </xf>
    <xf numFmtId="4" fontId="112" fillId="0" borderId="11" xfId="0" applyNumberFormat="1" applyFont="1" applyBorder="1" applyAlignment="1">
      <alignment horizontal="right" vertical="center"/>
    </xf>
    <xf numFmtId="4" fontId="103" fillId="0" borderId="8" xfId="0" applyNumberFormat="1" applyFont="1" applyBorder="1" applyAlignment="1">
      <alignment horizontal="right" vertical="center"/>
    </xf>
    <xf numFmtId="4" fontId="103" fillId="0" borderId="9" xfId="0" applyNumberFormat="1" applyFont="1" applyBorder="1" applyAlignment="1">
      <alignment horizontal="right" vertical="center"/>
    </xf>
    <xf numFmtId="10" fontId="112" fillId="0" borderId="19" xfId="0" applyNumberFormat="1" applyFont="1" applyBorder="1" applyAlignment="1">
      <alignment horizontal="center" vertical="center"/>
    </xf>
    <xf numFmtId="10" fontId="103" fillId="0" borderId="19" xfId="0" applyNumberFormat="1" applyFont="1" applyFill="1" applyBorder="1" applyAlignment="1">
      <alignment horizontal="center" vertical="center"/>
    </xf>
    <xf numFmtId="4" fontId="112" fillId="18" borderId="32" xfId="0" applyNumberFormat="1" applyFont="1" applyFill="1" applyBorder="1" applyAlignment="1">
      <alignment horizontal="right" vertical="center"/>
    </xf>
    <xf numFmtId="4" fontId="103" fillId="18" borderId="36" xfId="0" applyNumberFormat="1" applyFont="1" applyFill="1" applyBorder="1" applyAlignment="1">
      <alignment horizontal="right" vertical="center"/>
    </xf>
    <xf numFmtId="4" fontId="103" fillId="18" borderId="25" xfId="0" applyNumberFormat="1" applyFont="1" applyFill="1" applyBorder="1" applyAlignment="1">
      <alignment horizontal="right" vertical="center"/>
    </xf>
    <xf numFmtId="10" fontId="112" fillId="18" borderId="29" xfId="0" applyNumberFormat="1" applyFont="1" applyFill="1" applyBorder="1" applyAlignment="1">
      <alignment horizontal="center" vertical="center"/>
    </xf>
    <xf numFmtId="10" fontId="112" fillId="18" borderId="15" xfId="0" applyNumberFormat="1" applyFont="1" applyFill="1" applyBorder="1" applyAlignment="1">
      <alignment horizontal="center" vertical="center"/>
    </xf>
    <xf numFmtId="0" fontId="112" fillId="0" borderId="2" xfId="0" applyFont="1" applyFill="1" applyBorder="1" applyAlignment="1">
      <alignment horizontal="right" vertical="center" wrapText="1"/>
    </xf>
    <xf numFmtId="4" fontId="118" fillId="0" borderId="2" xfId="0" applyNumberFormat="1" applyFont="1" applyFill="1" applyBorder="1" applyAlignment="1">
      <alignment horizontal="right" vertical="center"/>
    </xf>
    <xf numFmtId="0" fontId="112" fillId="0" borderId="2" xfId="0" applyFont="1" applyFill="1" applyBorder="1" applyAlignment="1">
      <alignment horizontal="left" vertical="center" wrapText="1"/>
    </xf>
    <xf numFmtId="4" fontId="119" fillId="0" borderId="30" xfId="0" applyNumberFormat="1" applyFont="1" applyFill="1" applyBorder="1" applyAlignment="1">
      <alignment vertical="center"/>
    </xf>
    <xf numFmtId="4" fontId="119" fillId="0" borderId="5" xfId="0" applyNumberFormat="1" applyFont="1" applyFill="1" applyBorder="1" applyAlignment="1">
      <alignment vertical="center"/>
    </xf>
    <xf numFmtId="4" fontId="119" fillId="0" borderId="2" xfId="0" applyNumberFormat="1" applyFont="1" applyFill="1" applyBorder="1" applyAlignment="1">
      <alignment horizontal="right" vertical="center"/>
    </xf>
    <xf numFmtId="4" fontId="120" fillId="0" borderId="2" xfId="0" applyNumberFormat="1" applyFont="1" applyFill="1" applyBorder="1" applyAlignment="1">
      <alignment horizontal="right" vertical="center"/>
    </xf>
    <xf numFmtId="4" fontId="112" fillId="0" borderId="2" xfId="0" applyNumberFormat="1" applyFont="1" applyFill="1" applyBorder="1" applyAlignment="1">
      <alignment horizontal="right" vertical="center"/>
    </xf>
    <xf numFmtId="0" fontId="103" fillId="0" borderId="1" xfId="0" applyFont="1" applyBorder="1" applyAlignment="1">
      <alignment horizontal="center" vertical="top"/>
    </xf>
    <xf numFmtId="0" fontId="103" fillId="0" borderId="1" xfId="0" applyFont="1" applyFill="1" applyBorder="1" applyAlignment="1">
      <alignment horizontal="center" vertical="top"/>
    </xf>
    <xf numFmtId="0" fontId="121" fillId="0" borderId="0" xfId="0" applyFont="1" applyFill="1" applyBorder="1" applyAlignment="1">
      <alignment vertical="center"/>
    </xf>
    <xf numFmtId="0" fontId="123" fillId="0" borderId="0" xfId="0" applyFont="1"/>
    <xf numFmtId="0" fontId="124" fillId="0" borderId="0" xfId="0" applyFont="1" applyFill="1" applyBorder="1" applyAlignment="1">
      <alignment horizontal="left" vertical="center" wrapText="1"/>
    </xf>
    <xf numFmtId="4" fontId="124" fillId="0" borderId="0" xfId="0" applyNumberFormat="1" applyFont="1" applyFill="1" applyBorder="1" applyAlignment="1">
      <alignment horizontal="right" vertical="center"/>
    </xf>
    <xf numFmtId="4" fontId="123" fillId="0" borderId="0" xfId="0" applyNumberFormat="1" applyFont="1" applyFill="1" applyBorder="1" applyAlignment="1">
      <alignment horizontal="right" vertical="center"/>
    </xf>
    <xf numFmtId="10" fontId="124" fillId="0" borderId="0" xfId="0" applyNumberFormat="1" applyFont="1" applyFill="1" applyBorder="1" applyAlignment="1">
      <alignment horizontal="center" vertical="center"/>
    </xf>
    <xf numFmtId="0" fontId="123" fillId="0" borderId="0" xfId="0" applyFont="1" applyFill="1" applyBorder="1" applyAlignment="1">
      <alignment horizontal="right"/>
    </xf>
    <xf numFmtId="0" fontId="123" fillId="0" borderId="0" xfId="0" applyFont="1" applyAlignment="1">
      <alignment horizontal="right"/>
    </xf>
    <xf numFmtId="0" fontId="74" fillId="2" borderId="2" xfId="0" applyFont="1" applyFill="1" applyBorder="1" applyAlignment="1">
      <alignment horizontal="left" vertical="center" wrapText="1"/>
    </xf>
    <xf numFmtId="0" fontId="94" fillId="0" borderId="46" xfId="0" applyFont="1" applyFill="1" applyBorder="1" applyAlignment="1">
      <alignment horizontal="center" vertical="center"/>
    </xf>
    <xf numFmtId="0" fontId="94" fillId="0" borderId="39" xfId="0" applyFont="1" applyBorder="1" applyAlignment="1">
      <alignment horizontal="center" vertical="center"/>
    </xf>
    <xf numFmtId="0" fontId="84" fillId="0" borderId="30" xfId="0" applyFont="1" applyBorder="1" applyAlignment="1">
      <alignment horizontal="right" vertical="center" wrapText="1"/>
    </xf>
    <xf numFmtId="0" fontId="77" fillId="0" borderId="1" xfId="0" applyFont="1" applyFill="1" applyBorder="1" applyAlignment="1">
      <alignment horizontal="center" vertical="center" wrapText="1"/>
    </xf>
    <xf numFmtId="0" fontId="94" fillId="0" borderId="1" xfId="0" applyFont="1" applyFill="1" applyBorder="1" applyAlignment="1">
      <alignment horizontal="center" vertical="center" wrapText="1"/>
    </xf>
    <xf numFmtId="0" fontId="98" fillId="0" borderId="44" xfId="0" applyFont="1" applyFill="1" applyBorder="1" applyAlignment="1">
      <alignment horizontal="right" vertical="center" wrapText="1"/>
    </xf>
    <xf numFmtId="4" fontId="125" fillId="0" borderId="2" xfId="0" applyNumberFormat="1" applyFont="1" applyBorder="1" applyAlignment="1">
      <alignment horizontal="right" vertical="center"/>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94" fillId="0" borderId="1" xfId="5" applyFont="1" applyFill="1" applyBorder="1" applyAlignment="1">
      <alignment horizontal="left" vertical="center" wrapText="1"/>
    </xf>
    <xf numFmtId="4" fontId="77" fillId="2" borderId="32" xfId="0" applyNumberFormat="1" applyFont="1" applyFill="1" applyBorder="1" applyAlignment="1">
      <alignment vertical="center"/>
    </xf>
    <xf numFmtId="4" fontId="77" fillId="0" borderId="48" xfId="0" applyNumberFormat="1" applyFont="1" applyBorder="1" applyAlignment="1">
      <alignment vertical="center"/>
    </xf>
    <xf numFmtId="4" fontId="108" fillId="2" borderId="5" xfId="0" applyNumberFormat="1" applyFont="1" applyFill="1" applyBorder="1" applyAlignment="1">
      <alignment horizontal="right" vertical="center" wrapText="1"/>
    </xf>
    <xf numFmtId="0" fontId="94" fillId="0" borderId="5" xfId="0" applyFont="1" applyBorder="1" applyAlignment="1">
      <alignment vertical="center" wrapText="1"/>
    </xf>
    <xf numFmtId="0" fontId="72" fillId="2" borderId="1" xfId="0" applyFont="1" applyFill="1" applyBorder="1" applyAlignment="1">
      <alignment horizontal="left" vertical="center" wrapText="1"/>
    </xf>
    <xf numFmtId="0" fontId="77" fillId="0" borderId="4" xfId="0" applyFont="1" applyFill="1" applyBorder="1" applyAlignment="1">
      <alignment horizontal="center"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88" fillId="0" borderId="1" xfId="0" applyNumberFormat="1" applyFont="1" applyFill="1" applyBorder="1" applyAlignment="1">
      <alignment horizontal="right" vertical="center"/>
    </xf>
    <xf numFmtId="0" fontId="77" fillId="0" borderId="4" xfId="0" applyFont="1" applyFill="1" applyBorder="1" applyAlignment="1">
      <alignment vertical="center" wrapText="1"/>
    </xf>
    <xf numFmtId="2" fontId="95" fillId="2" borderId="12" xfId="0" applyNumberFormat="1" applyFont="1" applyFill="1" applyBorder="1" applyAlignment="1">
      <alignment horizontal="right" vertical="center"/>
    </xf>
    <xf numFmtId="4" fontId="77" fillId="2" borderId="6" xfId="0" applyNumberFormat="1" applyFont="1" applyFill="1" applyBorder="1" applyAlignment="1">
      <alignment horizontal="right" vertical="center"/>
    </xf>
    <xf numFmtId="10" fontId="77" fillId="0" borderId="22" xfId="0" applyNumberFormat="1" applyFont="1" applyBorder="1" applyAlignment="1">
      <alignment horizontal="center" vertical="center"/>
    </xf>
    <xf numFmtId="0" fontId="106" fillId="0" borderId="1" xfId="9" applyFont="1" applyBorder="1" applyAlignment="1">
      <alignment horizontal="left" vertical="center" wrapText="1"/>
    </xf>
    <xf numFmtId="4" fontId="94" fillId="0" borderId="6" xfId="0" applyNumberFormat="1" applyFont="1" applyBorder="1" applyAlignment="1">
      <alignment horizontal="right" vertical="center" wrapText="1"/>
    </xf>
    <xf numFmtId="4" fontId="84" fillId="17" borderId="51" xfId="0" applyNumberFormat="1" applyFont="1" applyFill="1" applyBorder="1" applyAlignment="1">
      <alignment horizontal="right" vertical="center"/>
    </xf>
    <xf numFmtId="0" fontId="71" fillId="2" borderId="4" xfId="0" applyFont="1" applyFill="1" applyBorder="1" applyAlignment="1">
      <alignment horizontal="left" vertical="center" wrapText="1"/>
    </xf>
    <xf numFmtId="4" fontId="94" fillId="0" borderId="24" xfId="0" applyNumberFormat="1" applyFont="1" applyFill="1" applyBorder="1" applyAlignment="1">
      <alignment horizontal="right" vertical="center" wrapText="1"/>
    </xf>
    <xf numFmtId="4" fontId="77" fillId="0" borderId="24" xfId="0" applyNumberFormat="1" applyFont="1" applyFill="1" applyBorder="1" applyAlignment="1">
      <alignment horizontal="right" vertical="center"/>
    </xf>
    <xf numFmtId="0" fontId="94" fillId="0" borderId="5" xfId="0" applyFont="1" applyFill="1" applyBorder="1" applyAlignment="1">
      <alignment vertical="center" wrapText="1"/>
    </xf>
    <xf numFmtId="4" fontId="94" fillId="0" borderId="22" xfId="0" applyNumberFormat="1" applyFont="1" applyFill="1" applyBorder="1" applyAlignment="1">
      <alignment horizontal="right" vertical="center"/>
    </xf>
    <xf numFmtId="0" fontId="94" fillId="0" borderId="12" xfId="0" applyFont="1" applyBorder="1" applyAlignment="1">
      <alignment vertical="center" wrapText="1"/>
    </xf>
    <xf numFmtId="4" fontId="94" fillId="0" borderId="22" xfId="0" applyNumberFormat="1" applyFont="1" applyFill="1" applyBorder="1" applyAlignment="1">
      <alignment horizontal="right" vertical="center" wrapText="1"/>
    </xf>
    <xf numFmtId="10" fontId="77" fillId="0" borderId="33" xfId="0" applyNumberFormat="1" applyFont="1" applyBorder="1" applyAlignment="1">
      <alignment horizontal="center" vertical="center"/>
    </xf>
    <xf numFmtId="4" fontId="94" fillId="0" borderId="33" xfId="0" applyNumberFormat="1" applyFont="1" applyFill="1" applyBorder="1" applyAlignment="1">
      <alignment horizontal="right" vertical="center" wrapText="1"/>
    </xf>
    <xf numFmtId="4" fontId="95" fillId="2" borderId="30" xfId="0" applyNumberFormat="1" applyFont="1" applyFill="1" applyBorder="1" applyAlignment="1">
      <alignment horizontal="right" vertical="center"/>
    </xf>
    <xf numFmtId="4" fontId="0" fillId="0" borderId="0" xfId="0" applyNumberFormat="1" applyFill="1"/>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77" fillId="0"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68" fillId="2" borderId="6" xfId="0" applyFont="1" applyFill="1" applyBorder="1" applyAlignment="1">
      <alignment horizontal="left" vertical="center" wrapText="1"/>
    </xf>
    <xf numFmtId="0" fontId="68" fillId="2" borderId="10" xfId="0" applyFont="1" applyFill="1" applyBorder="1" applyAlignment="1">
      <alignment horizontal="left" vertical="center" wrapText="1"/>
    </xf>
    <xf numFmtId="4" fontId="94" fillId="0" borderId="1" xfId="0" applyNumberFormat="1" applyFont="1" applyFill="1" applyBorder="1" applyAlignment="1">
      <alignment horizontal="right" vertical="center"/>
    </xf>
    <xf numFmtId="0" fontId="68" fillId="0" borderId="2" xfId="0" applyFont="1" applyFill="1" applyBorder="1" applyAlignment="1">
      <alignment horizontal="left"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94" fillId="0" borderId="31" xfId="0" applyFont="1" applyBorder="1" applyAlignment="1">
      <alignment vertical="center" wrapText="1"/>
    </xf>
    <xf numFmtId="0" fontId="67" fillId="2" borderId="7" xfId="0" applyFont="1" applyFill="1" applyBorder="1" applyAlignment="1">
      <alignment horizontal="left" vertical="center" wrapText="1"/>
    </xf>
    <xf numFmtId="0" fontId="94" fillId="0" borderId="1" xfId="0" applyFont="1" applyFill="1" applyBorder="1" applyAlignment="1">
      <alignment horizontal="left" vertical="center" wrapText="1"/>
    </xf>
    <xf numFmtId="0" fontId="94" fillId="0" borderId="1" xfId="0" applyFont="1" applyBorder="1" applyAlignment="1">
      <alignment horizontal="left" vertical="center" wrapText="1"/>
    </xf>
    <xf numFmtId="0" fontId="65" fillId="2" borderId="2" xfId="0" applyFont="1" applyFill="1" applyBorder="1" applyAlignment="1">
      <alignment horizontal="left" vertical="center" wrapText="1"/>
    </xf>
    <xf numFmtId="0" fontId="94" fillId="2" borderId="1" xfId="8" applyFont="1" applyFill="1" applyBorder="1" applyAlignment="1">
      <alignment horizontal="left" vertical="center" wrapText="1"/>
    </xf>
    <xf numFmtId="0" fontId="88" fillId="0" borderId="2" xfId="9" applyFont="1" applyBorder="1" applyAlignment="1">
      <alignment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64" fillId="0" borderId="7" xfId="0" applyFont="1" applyFill="1" applyBorder="1" applyAlignment="1">
      <alignment horizontal="left" vertical="center" wrapText="1"/>
    </xf>
    <xf numFmtId="0" fontId="77" fillId="0" borderId="1" xfId="0" applyFont="1" applyFill="1" applyBorder="1" applyAlignment="1">
      <alignment horizontal="left" vertical="center" wrapText="1"/>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117" fillId="20" borderId="24" xfId="0" applyFont="1" applyFill="1" applyBorder="1" applyAlignment="1">
      <alignment horizontal="center" vertical="center" wrapText="1"/>
    </xf>
    <xf numFmtId="4" fontId="112" fillId="20" borderId="32" xfId="0" applyNumberFormat="1" applyFont="1" applyFill="1" applyBorder="1" applyAlignment="1">
      <alignment horizontal="right" vertical="center"/>
    </xf>
    <xf numFmtId="0" fontId="116" fillId="19" borderId="12" xfId="0" applyFont="1" applyFill="1" applyBorder="1" applyAlignment="1">
      <alignment horizontal="left" vertical="center" wrapText="1"/>
    </xf>
    <xf numFmtId="0" fontId="117" fillId="19" borderId="12" xfId="0" applyFont="1" applyFill="1" applyBorder="1" applyAlignment="1">
      <alignment horizontal="center" vertical="center" wrapText="1"/>
    </xf>
    <xf numFmtId="4" fontId="112" fillId="19" borderId="26" xfId="0" applyNumberFormat="1" applyFont="1" applyFill="1" applyBorder="1" applyAlignment="1">
      <alignment horizontal="right" vertical="center"/>
    </xf>
    <xf numFmtId="10" fontId="0" fillId="0" borderId="1" xfId="0" applyNumberFormat="1" applyBorder="1" applyAlignment="1">
      <alignment vertical="center"/>
    </xf>
    <xf numFmtId="0" fontId="109" fillId="5" borderId="20" xfId="0" applyFont="1" applyFill="1" applyBorder="1" applyAlignment="1">
      <alignment horizontal="left" vertical="center" wrapText="1"/>
    </xf>
    <xf numFmtId="10" fontId="0" fillId="0" borderId="4" xfId="0" applyNumberFormat="1" applyBorder="1" applyAlignment="1">
      <alignment vertical="center"/>
    </xf>
    <xf numFmtId="0" fontId="110" fillId="5" borderId="19" xfId="0" applyFont="1" applyFill="1" applyBorder="1" applyAlignment="1">
      <alignment horizontal="center" vertical="center" wrapText="1"/>
    </xf>
    <xf numFmtId="4" fontId="84" fillId="5" borderId="45" xfId="0" applyNumberFormat="1" applyFont="1" applyFill="1" applyBorder="1" applyAlignment="1">
      <alignment horizontal="center" vertical="center"/>
    </xf>
    <xf numFmtId="0" fontId="110" fillId="17" borderId="19" xfId="0" applyFont="1" applyFill="1" applyBorder="1" applyAlignment="1">
      <alignment horizontal="center" vertical="center" wrapText="1"/>
    </xf>
    <xf numFmtId="0" fontId="110" fillId="17" borderId="14" xfId="0" applyFont="1" applyFill="1" applyBorder="1" applyAlignment="1">
      <alignment horizontal="center" vertical="center" wrapText="1"/>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63" fillId="2" borderId="1" xfId="0" applyFont="1" applyFill="1" applyBorder="1" applyAlignment="1">
      <alignment horizontal="left" vertical="center" wrapText="1"/>
    </xf>
    <xf numFmtId="10" fontId="77" fillId="0" borderId="33" xfId="0" applyNumberFormat="1" applyFont="1" applyBorder="1" applyAlignment="1">
      <alignment horizontal="center" vertical="center"/>
    </xf>
    <xf numFmtId="0" fontId="71" fillId="2" borderId="3" xfId="0" applyFont="1" applyFill="1" applyBorder="1" applyAlignment="1">
      <alignment horizontal="left" vertical="center" wrapText="1"/>
    </xf>
    <xf numFmtId="4" fontId="107" fillId="2" borderId="5" xfId="0" applyNumberFormat="1" applyFont="1" applyFill="1" applyBorder="1" applyAlignment="1">
      <alignment horizontal="right" vertical="center"/>
    </xf>
    <xf numFmtId="4" fontId="77" fillId="0" borderId="39" xfId="0" applyNumberFormat="1" applyFont="1" applyFill="1" applyBorder="1" applyAlignment="1">
      <alignment horizontal="right" vertical="center"/>
    </xf>
    <xf numFmtId="4" fontId="94" fillId="0" borderId="39" xfId="0" applyNumberFormat="1" applyFont="1" applyFill="1" applyBorder="1" applyAlignment="1">
      <alignment horizontal="right" vertical="center" wrapText="1"/>
    </xf>
    <xf numFmtId="4" fontId="94" fillId="0" borderId="30" xfId="0" applyNumberFormat="1" applyFont="1" applyFill="1" applyBorder="1" applyAlignment="1">
      <alignment horizontal="right" vertical="center" wrapText="1"/>
    </xf>
    <xf numFmtId="0" fontId="62" fillId="2" borderId="18" xfId="0" applyFont="1" applyFill="1" applyBorder="1" applyAlignment="1">
      <alignment horizontal="left" vertical="center" wrapText="1"/>
    </xf>
    <xf numFmtId="4" fontId="108" fillId="0" borderId="17" xfId="0" applyNumberFormat="1" applyFont="1" applyFill="1" applyBorder="1" applyAlignment="1">
      <alignment horizontal="right" vertical="center" wrapText="1"/>
    </xf>
    <xf numFmtId="4" fontId="77" fillId="2" borderId="22" xfId="0" applyNumberFormat="1" applyFont="1" applyFill="1" applyBorder="1" applyAlignment="1">
      <alignment horizontal="right" vertical="center"/>
    </xf>
    <xf numFmtId="10" fontId="77" fillId="0" borderId="24" xfId="0" applyNumberFormat="1" applyFont="1" applyBorder="1" applyAlignment="1">
      <alignment horizontal="center" vertical="center"/>
    </xf>
    <xf numFmtId="0" fontId="61"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5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108" fillId="2" borderId="17" xfId="0" applyNumberFormat="1" applyFont="1" applyFill="1" applyBorder="1" applyAlignment="1">
      <alignment horizontal="right" vertical="center"/>
    </xf>
    <xf numFmtId="4" fontId="108" fillId="0" borderId="5" xfId="0" applyNumberFormat="1" applyFont="1" applyFill="1" applyBorder="1" applyAlignment="1">
      <alignment horizontal="right" vertical="center" wrapText="1"/>
    </xf>
    <xf numFmtId="4" fontId="108" fillId="2" borderId="0" xfId="0" applyNumberFormat="1" applyFont="1" applyFill="1" applyBorder="1" applyAlignment="1">
      <alignment horizontal="right" vertical="center"/>
    </xf>
    <xf numFmtId="4" fontId="112" fillId="19" borderId="1" xfId="0" applyNumberFormat="1" applyFont="1" applyFill="1" applyBorder="1" applyAlignment="1">
      <alignment horizontal="right" vertical="center"/>
    </xf>
    <xf numFmtId="4" fontId="0" fillId="0" borderId="0" xfId="0" applyNumberFormat="1" applyBorder="1" applyAlignment="1">
      <alignment vertical="center"/>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56" fillId="2" borderId="1" xfId="0" applyFont="1" applyFill="1" applyBorder="1" applyAlignment="1">
      <alignment horizontal="left" vertical="center" wrapText="1"/>
    </xf>
    <xf numFmtId="4" fontId="77" fillId="2" borderId="39" xfId="0" applyNumberFormat="1" applyFont="1" applyFill="1" applyBorder="1" applyAlignment="1">
      <alignment horizontal="right" vertical="center"/>
    </xf>
    <xf numFmtId="10" fontId="77" fillId="0" borderId="24" xfId="0" applyNumberFormat="1" applyFont="1" applyBorder="1" applyAlignment="1">
      <alignment horizontal="center" vertical="center"/>
    </xf>
    <xf numFmtId="0" fontId="54" fillId="2" borderId="4" xfId="0" applyFont="1" applyFill="1" applyBorder="1" applyAlignment="1">
      <alignment horizontal="left" vertical="center" wrapText="1"/>
    </xf>
    <xf numFmtId="0" fontId="54" fillId="0" borderId="6"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84" fillId="5" borderId="57" xfId="0" applyFont="1" applyFill="1" applyBorder="1" applyAlignment="1">
      <alignment vertical="center" wrapText="1"/>
    </xf>
    <xf numFmtId="4" fontId="84" fillId="5" borderId="52" xfId="0" applyNumberFormat="1" applyFont="1" applyFill="1" applyBorder="1" applyAlignment="1">
      <alignment horizontal="right" vertical="center"/>
    </xf>
    <xf numFmtId="10" fontId="84" fillId="5" borderId="57" xfId="0" applyNumberFormat="1" applyFont="1" applyFill="1" applyBorder="1" applyAlignment="1">
      <alignment horizontal="center" vertical="center"/>
    </xf>
    <xf numFmtId="10" fontId="77" fillId="0" borderId="33" xfId="0" applyNumberFormat="1" applyFont="1" applyBorder="1" applyAlignment="1">
      <alignment horizontal="center" vertical="center"/>
    </xf>
    <xf numFmtId="0" fontId="58" fillId="2" borderId="40" xfId="0" applyFont="1" applyFill="1" applyBorder="1" applyAlignment="1">
      <alignment horizontal="left" vertical="center" wrapText="1"/>
    </xf>
    <xf numFmtId="4" fontId="77" fillId="0" borderId="34" xfId="0" applyNumberFormat="1" applyFont="1" applyFill="1" applyBorder="1" applyAlignment="1">
      <alignment horizontal="right" vertical="center"/>
    </xf>
    <xf numFmtId="4" fontId="77" fillId="2" borderId="10" xfId="0" applyNumberFormat="1" applyFont="1" applyFill="1" applyBorder="1" applyAlignment="1">
      <alignment horizontal="right" vertical="center"/>
    </xf>
    <xf numFmtId="0" fontId="0" fillId="0" borderId="1" xfId="0" applyBorder="1" applyAlignment="1">
      <alignment horizontal="center" vertical="center" wrapText="1"/>
    </xf>
    <xf numFmtId="4" fontId="77" fillId="2" borderId="1" xfId="0" applyNumberFormat="1" applyFont="1" applyFill="1" applyBorder="1" applyAlignment="1">
      <alignment horizontal="right" vertical="center"/>
    </xf>
    <xf numFmtId="10" fontId="77" fillId="0" borderId="1" xfId="0" applyNumberFormat="1" applyFont="1" applyBorder="1" applyAlignment="1">
      <alignment horizontal="center" vertical="center"/>
    </xf>
    <xf numFmtId="4" fontId="84" fillId="17" borderId="53" xfId="0" applyNumberFormat="1" applyFont="1" applyFill="1" applyBorder="1" applyAlignment="1">
      <alignment horizontal="right" vertical="center"/>
    </xf>
    <xf numFmtId="0" fontId="77" fillId="17" borderId="53" xfId="0" applyFont="1" applyFill="1" applyBorder="1" applyAlignment="1">
      <alignment horizontal="center" vertical="center"/>
    </xf>
    <xf numFmtId="0" fontId="77" fillId="17" borderId="57" xfId="0" applyFont="1" applyFill="1" applyBorder="1" applyAlignment="1">
      <alignment horizontal="center" vertical="center"/>
    </xf>
    <xf numFmtId="0" fontId="77" fillId="17" borderId="58" xfId="0" applyFont="1" applyFill="1" applyBorder="1" applyAlignment="1">
      <alignment horizontal="center" vertical="center"/>
    </xf>
    <xf numFmtId="0" fontId="0" fillId="2" borderId="27" xfId="0" applyFill="1" applyBorder="1" applyAlignment="1">
      <alignment horizontal="left" vertical="center" wrapText="1"/>
    </xf>
    <xf numFmtId="4" fontId="84" fillId="20" borderId="54" xfId="0" applyNumberFormat="1" applyFont="1" applyFill="1" applyBorder="1" applyAlignment="1">
      <alignment horizontal="center" vertical="center"/>
    </xf>
    <xf numFmtId="4" fontId="84" fillId="19" borderId="54" xfId="0" applyNumberFormat="1" applyFont="1" applyFill="1" applyBorder="1" applyAlignment="1">
      <alignment horizontal="center" vertical="center"/>
    </xf>
    <xf numFmtId="4" fontId="84" fillId="5" borderId="53" xfId="0" applyNumberFormat="1" applyFont="1" applyFill="1" applyBorder="1" applyAlignment="1">
      <alignment horizontal="center" vertical="center"/>
    </xf>
    <xf numFmtId="10" fontId="84" fillId="5" borderId="54" xfId="0" applyNumberFormat="1" applyFont="1" applyFill="1" applyBorder="1" applyAlignment="1">
      <alignment horizontal="center" vertical="center"/>
    </xf>
    <xf numFmtId="4" fontId="95" fillId="2" borderId="1" xfId="0" applyNumberFormat="1" applyFont="1" applyFill="1" applyBorder="1" applyAlignment="1">
      <alignment horizontal="right" vertical="center"/>
    </xf>
    <xf numFmtId="4" fontId="108" fillId="2" borderId="1" xfId="0" applyNumberFormat="1" applyFont="1" applyFill="1" applyBorder="1" applyAlignment="1">
      <alignment horizontal="right" vertical="center"/>
    </xf>
    <xf numFmtId="0" fontId="94" fillId="2" borderId="1" xfId="0" applyFont="1" applyFill="1" applyBorder="1" applyAlignment="1">
      <alignment vertical="center" wrapText="1"/>
    </xf>
    <xf numFmtId="0" fontId="50"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77" fillId="0" borderId="24" xfId="0" applyNumberFormat="1" applyFont="1" applyBorder="1" applyAlignment="1">
      <alignment horizontal="center" vertical="center"/>
    </xf>
    <xf numFmtId="0" fontId="94" fillId="0" borderId="41" xfId="9" applyFont="1" applyBorder="1" applyAlignment="1">
      <alignment horizontal="left" vertical="center" wrapText="1"/>
    </xf>
    <xf numFmtId="0" fontId="49" fillId="2" borderId="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0" borderId="6" xfId="0" applyFont="1" applyFill="1" applyBorder="1" applyAlignment="1">
      <alignment horizontal="left" vertical="center" wrapText="1"/>
    </xf>
    <xf numFmtId="4" fontId="77" fillId="0" borderId="1" xfId="0" applyNumberFormat="1" applyFont="1" applyFill="1" applyBorder="1" applyAlignment="1">
      <alignment horizontal="right" vertical="center"/>
    </xf>
    <xf numFmtId="0" fontId="0" fillId="0" borderId="1" xfId="0" applyBorder="1" applyAlignment="1">
      <alignment horizontal="left" vertical="center" wrapText="1"/>
    </xf>
    <xf numFmtId="4" fontId="88" fillId="0" borderId="1" xfId="0" applyNumberFormat="1" applyFont="1" applyFill="1" applyBorder="1" applyAlignment="1">
      <alignment horizontal="right" vertical="center" wrapText="1"/>
    </xf>
    <xf numFmtId="0" fontId="46" fillId="0" borderId="5" xfId="0" applyFont="1" applyBorder="1" applyAlignment="1">
      <alignment vertical="center" wrapText="1"/>
    </xf>
    <xf numFmtId="4" fontId="84" fillId="20" borderId="54" xfId="0" applyNumberFormat="1" applyFont="1" applyFill="1" applyBorder="1" applyAlignment="1">
      <alignment horizontal="right" vertical="center"/>
    </xf>
    <xf numFmtId="4" fontId="84" fillId="19" borderId="54" xfId="0" applyNumberFormat="1" applyFont="1" applyFill="1" applyBorder="1" applyAlignment="1">
      <alignment horizontal="right" vertical="center"/>
    </xf>
    <xf numFmtId="4" fontId="84" fillId="17" borderId="61" xfId="0" applyNumberFormat="1" applyFont="1" applyFill="1" applyBorder="1" applyAlignment="1">
      <alignment horizontal="right" vertical="center"/>
    </xf>
    <xf numFmtId="4" fontId="84" fillId="17" borderId="62" xfId="0" applyNumberFormat="1" applyFont="1" applyFill="1" applyBorder="1" applyAlignment="1">
      <alignment horizontal="right" vertical="center"/>
    </xf>
    <xf numFmtId="10" fontId="100" fillId="17" borderId="54" xfId="0" applyNumberFormat="1" applyFont="1" applyFill="1" applyBorder="1" applyAlignment="1">
      <alignment horizontal="center" vertical="center" wrapText="1"/>
    </xf>
    <xf numFmtId="0" fontId="50" fillId="0" borderId="1" xfId="0" applyFont="1" applyBorder="1" applyAlignment="1">
      <alignment horizontal="left" vertical="center" wrapText="1"/>
    </xf>
    <xf numFmtId="164" fontId="53" fillId="2" borderId="1" xfId="0" applyNumberFormat="1" applyFont="1" applyFill="1" applyBorder="1" applyAlignment="1">
      <alignment vertical="center" wrapText="1"/>
    </xf>
    <xf numFmtId="4" fontId="77" fillId="0" borderId="1" xfId="0" applyNumberFormat="1" applyFont="1" applyFill="1" applyBorder="1" applyAlignment="1">
      <alignment horizontal="right" vertical="center"/>
    </xf>
    <xf numFmtId="4" fontId="77" fillId="0" borderId="20" xfId="0" applyNumberFormat="1" applyFont="1" applyFill="1" applyBorder="1" applyAlignment="1">
      <alignment horizontal="right"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10" fontId="77" fillId="0" borderId="24" xfId="0" applyNumberFormat="1" applyFont="1" applyBorder="1" applyAlignment="1">
      <alignment horizontal="center" vertical="center"/>
    </xf>
    <xf numFmtId="10" fontId="77" fillId="0" borderId="3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53" fillId="2" borderId="20" xfId="0" applyNumberFormat="1" applyFont="1" applyFill="1" applyBorder="1" applyAlignment="1">
      <alignment vertical="center" wrapText="1"/>
    </xf>
    <xf numFmtId="0" fontId="51" fillId="2" borderId="20" xfId="0" applyFont="1" applyFill="1" applyBorder="1" applyAlignment="1">
      <alignment horizontal="left" vertical="center" wrapText="1"/>
    </xf>
    <xf numFmtId="4" fontId="95" fillId="2" borderId="20" xfId="0" applyNumberFormat="1" applyFont="1" applyFill="1" applyBorder="1" applyAlignment="1">
      <alignment horizontal="right" vertical="center"/>
    </xf>
    <xf numFmtId="4" fontId="77" fillId="2" borderId="20" xfId="0" applyNumberFormat="1" applyFont="1" applyFill="1" applyBorder="1" applyAlignment="1">
      <alignment horizontal="right" vertical="center"/>
    </xf>
    <xf numFmtId="10" fontId="77" fillId="0" borderId="20" xfId="0" applyNumberFormat="1" applyFont="1" applyBorder="1" applyAlignment="1">
      <alignment horizontal="center" vertical="center"/>
    </xf>
    <xf numFmtId="10" fontId="77" fillId="0" borderId="24" xfId="0" applyNumberFormat="1" applyFont="1" applyBorder="1" applyAlignment="1">
      <alignment horizontal="center" vertical="center"/>
    </xf>
    <xf numFmtId="0" fontId="44" fillId="2"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43" fillId="2" borderId="4" xfId="0" applyFont="1" applyFill="1" applyBorder="1" applyAlignment="1">
      <alignment horizontal="left" vertical="center" wrapText="1"/>
    </xf>
    <xf numFmtId="4" fontId="0" fillId="0" borderId="24" xfId="0" applyNumberFormat="1" applyBorder="1" applyAlignment="1">
      <alignment horizontal="right" vertical="center"/>
    </xf>
    <xf numFmtId="4" fontId="0" fillId="0" borderId="0" xfId="0" applyNumberFormat="1" applyAlignment="1">
      <alignment horizontal="center"/>
    </xf>
    <xf numFmtId="0" fontId="0" fillId="0" borderId="1" xfId="0" applyBorder="1" applyAlignment="1">
      <alignment horizontal="left" vertical="center" wrapText="1"/>
    </xf>
    <xf numFmtId="0" fontId="42" fillId="2" borderId="1" xfId="0" applyFont="1" applyFill="1" applyBorder="1" applyAlignment="1">
      <alignment horizontal="left" vertical="center" wrapText="1"/>
    </xf>
    <xf numFmtId="0" fontId="41" fillId="0" borderId="31" xfId="0" applyFont="1" applyFill="1" applyBorder="1" applyAlignment="1">
      <alignment vertical="center" wrapText="1"/>
    </xf>
    <xf numFmtId="10" fontId="77" fillId="0" borderId="33" xfId="0" applyNumberFormat="1" applyFont="1" applyBorder="1" applyAlignment="1">
      <alignment horizontal="center" vertical="center"/>
    </xf>
    <xf numFmtId="0" fontId="0" fillId="0" borderId="24" xfId="0" applyBorder="1" applyAlignment="1">
      <alignment horizontal="center" vertical="center"/>
    </xf>
    <xf numFmtId="0" fontId="39" fillId="2" borderId="1" xfId="0" applyFont="1" applyFill="1" applyBorder="1" applyAlignment="1">
      <alignment horizontal="left" vertical="center" wrapText="1"/>
    </xf>
    <xf numFmtId="4" fontId="94" fillId="0" borderId="5" xfId="0" applyNumberFormat="1" applyFont="1" applyFill="1" applyBorder="1" applyAlignment="1">
      <alignment horizontal="right" vertical="center" wrapText="1"/>
    </xf>
    <xf numFmtId="0" fontId="39" fillId="2" borderId="2" xfId="0" applyFont="1" applyFill="1" applyBorder="1" applyAlignment="1">
      <alignment horizontal="left" vertical="center" wrapText="1"/>
    </xf>
    <xf numFmtId="4" fontId="84" fillId="19" borderId="55" xfId="0" applyNumberFormat="1" applyFont="1" applyFill="1" applyBorder="1" applyAlignment="1">
      <alignment horizontal="center" vertical="center"/>
    </xf>
    <xf numFmtId="0" fontId="84" fillId="19" borderId="0" xfId="0" applyFont="1" applyFill="1" applyAlignment="1">
      <alignment vertical="center"/>
    </xf>
    <xf numFmtId="0" fontId="77" fillId="2" borderId="20" xfId="0" applyFont="1" applyFill="1" applyBorder="1" applyAlignment="1">
      <alignment horizontal="left" vertical="center" wrapText="1"/>
    </xf>
    <xf numFmtId="4" fontId="98" fillId="2" borderId="5" xfId="0" applyNumberFormat="1" applyFont="1" applyFill="1" applyBorder="1" applyAlignment="1">
      <alignment horizontal="right" vertical="center"/>
    </xf>
    <xf numFmtId="4" fontId="108" fillId="0" borderId="26" xfId="0" applyNumberFormat="1" applyFont="1" applyFill="1" applyBorder="1" applyAlignment="1">
      <alignment vertical="center"/>
    </xf>
    <xf numFmtId="4" fontId="95" fillId="0" borderId="5" xfId="0" applyNumberFormat="1" applyFont="1" applyFill="1" applyBorder="1" applyAlignment="1">
      <alignment vertical="center"/>
    </xf>
    <xf numFmtId="4" fontId="94" fillId="0" borderId="5" xfId="0" applyNumberFormat="1" applyFont="1" applyFill="1" applyBorder="1" applyAlignment="1">
      <alignment horizontal="right" vertical="center"/>
    </xf>
    <xf numFmtId="4" fontId="108" fillId="0" borderId="5" xfId="0" applyNumberFormat="1" applyFont="1" applyFill="1" applyBorder="1" applyAlignment="1">
      <alignment vertical="center"/>
    </xf>
    <xf numFmtId="4" fontId="95" fillId="0" borderId="5" xfId="0" applyNumberFormat="1" applyFont="1" applyFill="1" applyBorder="1" applyAlignment="1">
      <alignment horizontal="right" vertical="center" wrapText="1"/>
    </xf>
    <xf numFmtId="4" fontId="125" fillId="0" borderId="5" xfId="0" applyNumberFormat="1" applyFont="1" applyFill="1" applyBorder="1" applyAlignment="1">
      <alignment horizontal="right" vertical="center" wrapText="1"/>
    </xf>
    <xf numFmtId="4" fontId="88" fillId="0" borderId="2" xfId="0" applyNumberFormat="1" applyFont="1" applyFill="1" applyBorder="1" applyAlignment="1">
      <alignment horizontal="right" vertical="center" wrapText="1"/>
    </xf>
    <xf numFmtId="4" fontId="108" fillId="0" borderId="5" xfId="0" applyNumberFormat="1" applyFont="1" applyFill="1" applyBorder="1" applyAlignment="1">
      <alignment horizontal="right" vertical="center"/>
    </xf>
    <xf numFmtId="4" fontId="95" fillId="0" borderId="5" xfId="0" applyNumberFormat="1" applyFont="1" applyFill="1" applyBorder="1" applyAlignment="1">
      <alignment horizontal="right" vertical="center"/>
    </xf>
    <xf numFmtId="4" fontId="94" fillId="0" borderId="18" xfId="0" applyNumberFormat="1" applyFont="1" applyFill="1" applyBorder="1" applyAlignment="1">
      <alignment horizontal="right" vertical="center" wrapText="1"/>
    </xf>
    <xf numFmtId="4" fontId="94" fillId="0" borderId="18" xfId="0" applyNumberFormat="1" applyFont="1" applyFill="1" applyBorder="1" applyAlignment="1">
      <alignment vertical="center"/>
    </xf>
    <xf numFmtId="4" fontId="95" fillId="0" borderId="50" xfId="0" applyNumberFormat="1" applyFont="1" applyFill="1" applyBorder="1" applyAlignment="1">
      <alignment horizontal="right" vertical="center" wrapText="1"/>
    </xf>
    <xf numFmtId="4" fontId="94" fillId="0" borderId="24" xfId="0" applyNumberFormat="1" applyFont="1" applyFill="1" applyBorder="1" applyAlignment="1">
      <alignment vertical="center"/>
    </xf>
    <xf numFmtId="10" fontId="94" fillId="0" borderId="22" xfId="0" applyNumberFormat="1" applyFont="1" applyFill="1" applyBorder="1" applyAlignment="1">
      <alignment horizontal="center" vertical="center"/>
    </xf>
    <xf numFmtId="4" fontId="95" fillId="0" borderId="12" xfId="0" applyNumberFormat="1" applyFont="1" applyFill="1" applyBorder="1" applyAlignment="1">
      <alignment vertical="center"/>
    </xf>
    <xf numFmtId="0" fontId="126" fillId="0" borderId="12" xfId="0" applyFont="1" applyFill="1" applyBorder="1" applyAlignment="1">
      <alignment horizontal="right" vertical="center"/>
    </xf>
    <xf numFmtId="4" fontId="94" fillId="0" borderId="27" xfId="0" applyNumberFormat="1" applyFont="1" applyFill="1" applyBorder="1" applyAlignment="1">
      <alignment horizontal="right" vertical="center"/>
    </xf>
    <xf numFmtId="4" fontId="108" fillId="0" borderId="24" xfId="0" applyNumberFormat="1" applyFont="1" applyFill="1" applyBorder="1" applyAlignment="1">
      <alignment vertical="center"/>
    </xf>
    <xf numFmtId="4" fontId="95" fillId="0" borderId="17" xfId="0" applyNumberFormat="1" applyFont="1" applyFill="1" applyBorder="1" applyAlignment="1">
      <alignment horizontal="right" vertical="center" wrapText="1"/>
    </xf>
    <xf numFmtId="4" fontId="95" fillId="0" borderId="38" xfId="0" applyNumberFormat="1" applyFont="1" applyFill="1" applyBorder="1" applyAlignment="1">
      <alignment horizontal="right" vertical="center"/>
    </xf>
    <xf numFmtId="10" fontId="77" fillId="0" borderId="24" xfId="0" applyNumberFormat="1" applyFont="1" applyBorder="1" applyAlignment="1">
      <alignment horizontal="center" vertical="center"/>
    </xf>
    <xf numFmtId="0" fontId="38" fillId="2" borderId="1" xfId="0" applyFont="1" applyFill="1" applyBorder="1" applyAlignment="1">
      <alignment vertical="center" wrapText="1"/>
    </xf>
    <xf numFmtId="0" fontId="0" fillId="0" borderId="1" xfId="0" applyBorder="1" applyAlignment="1">
      <alignment horizontal="left" vertical="center" wrapText="1"/>
    </xf>
    <xf numFmtId="0" fontId="94" fillId="2" borderId="27" xfId="0" applyFont="1" applyFill="1" applyBorder="1" applyAlignment="1">
      <alignment vertical="center" wrapText="1"/>
    </xf>
    <xf numFmtId="0" fontId="37" fillId="0" borderId="2" xfId="0" applyFont="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Border="1" applyAlignment="1">
      <alignment horizontal="left" vertical="center" wrapText="1"/>
    </xf>
    <xf numFmtId="0" fontId="36" fillId="2" borderId="1" xfId="0" applyFont="1" applyFill="1" applyBorder="1" applyAlignment="1">
      <alignment horizontal="left" vertical="center" wrapText="1"/>
    </xf>
    <xf numFmtId="4" fontId="35" fillId="0" borderId="1" xfId="0" applyNumberFormat="1" applyFont="1" applyFill="1" applyBorder="1" applyAlignment="1">
      <alignment horizontal="right" vertical="center" wrapText="1"/>
    </xf>
    <xf numFmtId="4" fontId="120" fillId="0" borderId="30" xfId="0" applyNumberFormat="1" applyFont="1" applyFill="1" applyBorder="1" applyAlignment="1">
      <alignment horizontal="left" vertical="center"/>
    </xf>
    <xf numFmtId="4" fontId="120" fillId="0" borderId="5" xfId="0" applyNumberFormat="1" applyFont="1" applyFill="1" applyBorder="1" applyAlignment="1">
      <alignment horizontal="left" vertical="center"/>
    </xf>
    <xf numFmtId="4" fontId="103" fillId="0" borderId="1" xfId="0" applyNumberFormat="1" applyFont="1" applyFill="1" applyBorder="1" applyAlignment="1">
      <alignment horizontal="left" vertical="center"/>
    </xf>
    <xf numFmtId="0" fontId="34" fillId="2" borderId="1" xfId="0" applyFont="1" applyFill="1" applyBorder="1" applyAlignment="1">
      <alignment horizontal="left" vertical="center" wrapText="1"/>
    </xf>
    <xf numFmtId="0" fontId="0" fillId="0" borderId="28" xfId="0" applyBorder="1" applyAlignment="1">
      <alignment vertical="center"/>
    </xf>
    <xf numFmtId="0" fontId="33" fillId="0" borderId="2" xfId="0" applyFont="1" applyFill="1" applyBorder="1" applyAlignment="1">
      <alignment horizontal="left" vertical="center" wrapText="1"/>
    </xf>
    <xf numFmtId="0" fontId="0" fillId="0" borderId="1" xfId="0" applyBorder="1" applyAlignment="1">
      <alignment horizontal="left" vertical="center" wrapText="1"/>
    </xf>
    <xf numFmtId="0" fontId="32" fillId="2" borderId="1" xfId="0" applyFont="1" applyFill="1" applyBorder="1" applyAlignment="1">
      <alignment horizontal="left" vertical="center" wrapText="1"/>
    </xf>
    <xf numFmtId="0" fontId="126" fillId="0" borderId="5" xfId="0" applyFont="1" applyFill="1" applyBorder="1" applyAlignment="1">
      <alignment horizontal="right" vertical="center"/>
    </xf>
    <xf numFmtId="4" fontId="95" fillId="0" borderId="27" xfId="0" applyNumberFormat="1" applyFont="1" applyFill="1" applyBorder="1" applyAlignment="1">
      <alignment horizontal="right" vertical="center"/>
    </xf>
    <xf numFmtId="4" fontId="95" fillId="0" borderId="30" xfId="0" applyNumberFormat="1" applyFont="1" applyFill="1" applyBorder="1" applyAlignment="1">
      <alignment horizontal="right" vertical="center"/>
    </xf>
    <xf numFmtId="4" fontId="95" fillId="0" borderId="27" xfId="0" applyNumberFormat="1" applyFont="1" applyBorder="1" applyAlignment="1">
      <alignment horizontal="right" vertical="center"/>
    </xf>
    <xf numFmtId="4" fontId="95" fillId="0" borderId="6" xfId="0" applyNumberFormat="1" applyFont="1" applyFill="1" applyBorder="1" applyAlignment="1">
      <alignment horizontal="right" vertical="center" wrapText="1"/>
    </xf>
    <xf numFmtId="4" fontId="95" fillId="0" borderId="2" xfId="0" applyNumberFormat="1" applyFont="1" applyFill="1" applyBorder="1" applyAlignment="1">
      <alignment horizontal="right" vertical="center"/>
    </xf>
    <xf numFmtId="0" fontId="101" fillId="0" borderId="0" xfId="0" applyFont="1" applyFill="1" applyBorder="1" applyAlignment="1">
      <alignment horizontal="left"/>
    </xf>
    <xf numFmtId="0" fontId="8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01" fillId="0" borderId="0" xfId="0" applyFont="1" applyFill="1" applyBorder="1" applyAlignment="1">
      <alignment horizontal="right"/>
    </xf>
    <xf numFmtId="0" fontId="94" fillId="0" borderId="27"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95" fillId="0" borderId="12" xfId="0" applyNumberFormat="1" applyFont="1" applyBorder="1" applyAlignment="1">
      <alignment horizontal="right" vertical="center"/>
    </xf>
    <xf numFmtId="0" fontId="0" fillId="0" borderId="1" xfId="0" applyBorder="1" applyAlignment="1">
      <alignment horizontal="left" vertical="center" wrapText="1"/>
    </xf>
    <xf numFmtId="0" fontId="31" fillId="2" borderId="1" xfId="0" applyFont="1" applyFill="1" applyBorder="1" applyAlignment="1">
      <alignment horizontal="left" vertical="center" wrapText="1"/>
    </xf>
    <xf numFmtId="10" fontId="0" fillId="0" borderId="1" xfId="0" applyNumberFormat="1" applyBorder="1" applyAlignment="1">
      <alignment horizontal="center" vertical="center"/>
    </xf>
    <xf numFmtId="10" fontId="77" fillId="0" borderId="34" xfId="0" applyNumberFormat="1" applyFont="1" applyBorder="1" applyAlignment="1">
      <alignment horizontal="center" vertical="center"/>
    </xf>
    <xf numFmtId="10" fontId="77" fillId="0" borderId="24" xfId="0" applyNumberFormat="1" applyFont="1" applyBorder="1" applyAlignment="1">
      <alignment horizontal="center" vertical="center"/>
    </xf>
    <xf numFmtId="0" fontId="30"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0" fillId="0" borderId="5" xfId="0" applyNumberFormat="1" applyBorder="1" applyAlignment="1">
      <alignment horizontal="center" vertical="center"/>
    </xf>
    <xf numFmtId="10" fontId="77" fillId="0" borderId="33" xfId="0" applyNumberFormat="1" applyFont="1" applyBorder="1" applyAlignment="1">
      <alignment horizontal="center" vertical="center"/>
    </xf>
    <xf numFmtId="0" fontId="0" fillId="0" borderId="24" xfId="0" applyBorder="1" applyAlignment="1">
      <alignment horizontal="center" vertical="center"/>
    </xf>
    <xf numFmtId="0" fontId="29" fillId="2" borderId="1" xfId="0" applyFont="1" applyFill="1" applyBorder="1" applyAlignment="1">
      <alignment horizontal="left" vertical="center" wrapText="1"/>
    </xf>
    <xf numFmtId="0" fontId="94" fillId="0" borderId="15"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0" fillId="0" borderId="1" xfId="0" applyBorder="1" applyAlignment="1">
      <alignment horizontal="left" vertical="center" wrapText="1"/>
    </xf>
    <xf numFmtId="0" fontId="28" fillId="2" borderId="1" xfId="0" applyFont="1" applyFill="1" applyBorder="1" applyAlignment="1">
      <alignment horizontal="left" vertical="center" wrapText="1"/>
    </xf>
    <xf numFmtId="0" fontId="25" fillId="0" borderId="2" xfId="0" applyFont="1" applyBorder="1" applyAlignment="1">
      <alignment horizontal="left" vertical="center" wrapText="1"/>
    </xf>
    <xf numFmtId="4" fontId="94" fillId="2" borderId="1" xfId="0" applyNumberFormat="1" applyFont="1" applyFill="1" applyBorder="1" applyAlignment="1">
      <alignment horizontal="right" vertical="center"/>
    </xf>
    <xf numFmtId="0" fontId="24" fillId="2" borderId="1" xfId="0" applyFont="1" applyFill="1" applyBorder="1" applyAlignment="1">
      <alignment horizontal="left" vertical="center" wrapText="1"/>
    </xf>
    <xf numFmtId="4" fontId="22" fillId="0" borderId="1" xfId="0" applyNumberFormat="1" applyFont="1" applyBorder="1" applyAlignment="1">
      <alignment horizontal="center" vertical="center"/>
    </xf>
    <xf numFmtId="4" fontId="94" fillId="0" borderId="1" xfId="0" applyNumberFormat="1" applyFont="1" applyFill="1" applyBorder="1" applyAlignment="1">
      <alignment horizontal="center" vertical="center"/>
    </xf>
    <xf numFmtId="0" fontId="22" fillId="0" borderId="5" xfId="0" applyFont="1" applyFill="1" applyBorder="1" applyAlignment="1">
      <alignment vertical="center" wrapText="1"/>
    </xf>
    <xf numFmtId="0" fontId="21" fillId="0" borderId="5" xfId="0" applyFont="1" applyBorder="1" applyAlignment="1">
      <alignment vertical="center" wrapText="1"/>
    </xf>
    <xf numFmtId="0" fontId="21" fillId="0" borderId="1" xfId="0" applyFont="1" applyFill="1" applyBorder="1" applyAlignment="1">
      <alignment vertical="center" wrapText="1"/>
    </xf>
    <xf numFmtId="14" fontId="21" fillId="0" borderId="5" xfId="0" applyNumberFormat="1" applyFont="1" applyFill="1" applyBorder="1" applyAlignment="1">
      <alignment vertical="center" wrapText="1"/>
    </xf>
    <xf numFmtId="0" fontId="21" fillId="17" borderId="55" xfId="0" applyFont="1" applyFill="1" applyBorder="1" applyAlignment="1">
      <alignment horizontal="center" vertical="center"/>
    </xf>
    <xf numFmtId="0" fontId="21" fillId="0" borderId="12"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Fill="1" applyBorder="1" applyAlignment="1">
      <alignment vertical="center" wrapText="1"/>
    </xf>
    <xf numFmtId="0" fontId="94" fillId="0" borderId="1" xfId="0" applyFont="1" applyBorder="1" applyAlignment="1">
      <alignment horizontal="left" vertical="center" wrapText="1"/>
    </xf>
    <xf numFmtId="4" fontId="88"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94" fillId="0" borderId="2" xfId="0" applyNumberFormat="1" applyFont="1" applyFill="1" applyBorder="1" applyAlignment="1">
      <alignment horizontal="center" vertical="center"/>
    </xf>
    <xf numFmtId="0" fontId="102" fillId="0" borderId="0" xfId="0" applyFont="1" applyFill="1" applyBorder="1" applyAlignment="1">
      <alignment horizontal="left"/>
    </xf>
    <xf numFmtId="0" fontId="131" fillId="5" borderId="8" xfId="0" applyFont="1" applyFill="1" applyBorder="1" applyAlignment="1">
      <alignment horizontal="center" vertical="center" wrapText="1"/>
    </xf>
    <xf numFmtId="0" fontId="19" fillId="0" borderId="10" xfId="0" applyFont="1" applyFill="1" applyBorder="1" applyAlignment="1">
      <alignment horizontal="left" vertical="center" wrapText="1"/>
    </xf>
    <xf numFmtId="4" fontId="19" fillId="0" borderId="24" xfId="0" applyNumberFormat="1" applyFont="1" applyFill="1" applyBorder="1" applyAlignment="1">
      <alignment vertical="center"/>
    </xf>
    <xf numFmtId="4" fontId="19" fillId="0" borderId="6" xfId="0" applyNumberFormat="1" applyFont="1" applyFill="1" applyBorder="1" applyAlignment="1">
      <alignment horizontal="right" vertical="center"/>
    </xf>
    <xf numFmtId="10" fontId="19" fillId="0" borderId="34" xfId="0" applyNumberFormat="1" applyFont="1" applyFill="1" applyBorder="1" applyAlignment="1">
      <alignment horizontal="center" vertical="center"/>
    </xf>
    <xf numFmtId="4" fontId="19" fillId="0" borderId="22" xfId="0" applyNumberFormat="1" applyFont="1" applyFill="1" applyBorder="1" applyAlignment="1">
      <alignment vertical="center"/>
    </xf>
    <xf numFmtId="4" fontId="19" fillId="0" borderId="2" xfId="0" applyNumberFormat="1" applyFont="1" applyFill="1" applyBorder="1" applyAlignment="1">
      <alignment horizontal="right" vertical="center"/>
    </xf>
    <xf numFmtId="10" fontId="19" fillId="0" borderId="22"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4" fontId="19" fillId="0" borderId="22" xfId="0" applyNumberFormat="1" applyFont="1" applyFill="1" applyBorder="1" applyAlignment="1">
      <alignment horizontal="right" vertical="center"/>
    </xf>
    <xf numFmtId="0" fontId="19" fillId="0" borderId="1" xfId="5" applyFont="1" applyBorder="1" applyAlignment="1">
      <alignment horizontal="left" vertical="center" wrapText="1"/>
    </xf>
    <xf numFmtId="0" fontId="19" fillId="0" borderId="1" xfId="0" applyFont="1" applyBorder="1" applyAlignment="1">
      <alignment horizontal="left" vertical="center"/>
    </xf>
    <xf numFmtId="4" fontId="19" fillId="0" borderId="1" xfId="0" applyNumberFormat="1" applyFont="1" applyBorder="1" applyAlignment="1">
      <alignment horizontal="right" vertical="center"/>
    </xf>
    <xf numFmtId="4" fontId="94" fillId="0" borderId="1" xfId="0" applyNumberFormat="1" applyFont="1" applyBorder="1" applyAlignment="1">
      <alignment horizontal="left" vertical="center"/>
    </xf>
    <xf numFmtId="4" fontId="19" fillId="0" borderId="2" xfId="0" applyNumberFormat="1" applyFont="1" applyFill="1" applyBorder="1" applyAlignment="1">
      <alignment vertical="center"/>
    </xf>
    <xf numFmtId="10" fontId="19" fillId="0" borderId="30"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4" fontId="19" fillId="0" borderId="27" xfId="0" applyNumberFormat="1" applyFont="1" applyFill="1" applyBorder="1" applyAlignment="1">
      <alignment vertical="center" wrapText="1"/>
    </xf>
    <xf numFmtId="4" fontId="19" fillId="0" borderId="18" xfId="0" applyNumberFormat="1" applyFont="1" applyFill="1" applyBorder="1" applyAlignment="1">
      <alignment horizontal="right" vertical="center" wrapText="1"/>
    </xf>
    <xf numFmtId="4" fontId="19" fillId="0" borderId="2" xfId="0" applyNumberFormat="1" applyFont="1" applyFill="1" applyBorder="1" applyAlignment="1">
      <alignment horizontal="right" vertical="center" wrapText="1"/>
    </xf>
    <xf numFmtId="4" fontId="19" fillId="0" borderId="18" xfId="0" applyNumberFormat="1" applyFont="1" applyFill="1" applyBorder="1" applyAlignment="1">
      <alignment horizontal="right" vertical="center"/>
    </xf>
    <xf numFmtId="4" fontId="19" fillId="0" borderId="5" xfId="0" applyNumberFormat="1" applyFont="1" applyFill="1" applyBorder="1" applyAlignment="1">
      <alignment horizontal="right" vertical="center"/>
    </xf>
    <xf numFmtId="0" fontId="19" fillId="2" borderId="2" xfId="0" applyFont="1" applyFill="1" applyBorder="1" applyAlignment="1">
      <alignment horizontal="left" vertical="center" wrapText="1"/>
    </xf>
    <xf numFmtId="4" fontId="19" fillId="0" borderId="30" xfId="0" applyNumberFormat="1" applyFont="1" applyFill="1" applyBorder="1" applyAlignment="1">
      <alignment vertical="center"/>
    </xf>
    <xf numFmtId="4" fontId="19" fillId="0" borderId="27" xfId="0" applyNumberFormat="1" applyFont="1" applyFill="1" applyBorder="1" applyAlignment="1">
      <alignment vertical="center"/>
    </xf>
    <xf numFmtId="4" fontId="19" fillId="0" borderId="17" xfId="0" applyNumberFormat="1" applyFont="1" applyFill="1" applyBorder="1" applyAlignment="1">
      <alignment vertical="center"/>
    </xf>
    <xf numFmtId="4" fontId="94" fillId="0" borderId="1" xfId="0" applyNumberFormat="1" applyFont="1" applyFill="1" applyBorder="1" applyAlignment="1">
      <alignment horizontal="left" vertical="center" wrapText="1"/>
    </xf>
    <xf numFmtId="4" fontId="19" fillId="0" borderId="18" xfId="0" applyNumberFormat="1" applyFont="1" applyFill="1" applyBorder="1" applyAlignment="1">
      <alignment vertical="center"/>
    </xf>
    <xf numFmtId="4" fontId="19" fillId="0" borderId="38" xfId="0" applyNumberFormat="1" applyFont="1" applyFill="1" applyBorder="1" applyAlignment="1">
      <alignment vertical="center"/>
    </xf>
    <xf numFmtId="4" fontId="19" fillId="0" borderId="33" xfId="0" applyNumberFormat="1" applyFont="1" applyFill="1" applyBorder="1" applyAlignment="1">
      <alignment vertical="center"/>
    </xf>
    <xf numFmtId="0" fontId="19" fillId="0" borderId="18" xfId="0" applyFont="1" applyFill="1" applyBorder="1" applyAlignment="1">
      <alignment horizontal="left" vertical="center" wrapText="1"/>
    </xf>
    <xf numFmtId="4" fontId="19" fillId="0" borderId="24" xfId="0" applyNumberFormat="1" applyFont="1" applyFill="1" applyBorder="1" applyAlignment="1">
      <alignment horizontal="right" vertical="center"/>
    </xf>
    <xf numFmtId="0" fontId="19" fillId="0" borderId="40" xfId="0" applyFont="1" applyFill="1" applyBorder="1" applyAlignment="1">
      <alignment horizontal="left" vertical="center" wrapText="1"/>
    </xf>
    <xf numFmtId="4"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vertical="center"/>
    </xf>
    <xf numFmtId="10" fontId="19" fillId="0" borderId="24" xfId="0" applyNumberFormat="1" applyFont="1" applyFill="1" applyBorder="1" applyAlignment="1">
      <alignment horizontal="center" vertical="center"/>
    </xf>
    <xf numFmtId="0" fontId="19" fillId="0" borderId="1" xfId="0" applyFont="1" applyFill="1" applyBorder="1" applyAlignment="1">
      <alignment horizontal="left" vertical="center"/>
    </xf>
    <xf numFmtId="0" fontId="19" fillId="0" borderId="18" xfId="0" applyFont="1" applyFill="1" applyBorder="1" applyAlignment="1">
      <alignment vertical="center" wrapText="1"/>
    </xf>
    <xf numFmtId="0" fontId="19" fillId="0" borderId="40" xfId="0" applyFont="1" applyFill="1" applyBorder="1" applyAlignment="1">
      <alignment vertical="center" wrapText="1"/>
    </xf>
    <xf numFmtId="4" fontId="19" fillId="0" borderId="40" xfId="0" applyNumberFormat="1" applyFont="1" applyFill="1" applyBorder="1" applyAlignment="1">
      <alignment vertical="center"/>
    </xf>
    <xf numFmtId="0" fontId="19" fillId="0" borderId="37" xfId="0" applyFont="1" applyFill="1" applyBorder="1" applyAlignment="1">
      <alignment horizontal="left" vertical="center" wrapText="1"/>
    </xf>
    <xf numFmtId="10" fontId="19" fillId="0" borderId="33" xfId="0" applyNumberFormat="1" applyFont="1" applyFill="1" applyBorder="1" applyAlignment="1">
      <alignment horizontal="center" vertical="center"/>
    </xf>
    <xf numFmtId="0" fontId="19" fillId="0" borderId="56" xfId="0" applyFont="1" applyFill="1" applyBorder="1" applyAlignment="1">
      <alignment horizontal="left" vertical="center" wrapText="1"/>
    </xf>
    <xf numFmtId="0" fontId="19" fillId="0" borderId="17" xfId="0" applyFont="1" applyFill="1" applyBorder="1" applyAlignment="1">
      <alignment horizontal="right"/>
    </xf>
    <xf numFmtId="4" fontId="94" fillId="0" borderId="20" xfId="0" applyNumberFormat="1" applyFont="1" applyFill="1" applyBorder="1" applyAlignment="1">
      <alignment horizontal="left" vertical="center" wrapText="1"/>
    </xf>
    <xf numFmtId="4" fontId="19" fillId="0" borderId="33" xfId="0" applyNumberFormat="1" applyFont="1" applyBorder="1" applyAlignment="1">
      <alignment horizontal="right" vertical="center"/>
    </xf>
    <xf numFmtId="4" fontId="19" fillId="0" borderId="37" xfId="0" applyNumberFormat="1" applyFont="1" applyBorder="1" applyAlignment="1">
      <alignment horizontal="right" vertical="center"/>
    </xf>
    <xf numFmtId="10" fontId="19" fillId="0" borderId="33" xfId="0" applyNumberFormat="1" applyFont="1" applyBorder="1" applyAlignment="1">
      <alignment horizontal="center" vertical="center"/>
    </xf>
    <xf numFmtId="4" fontId="94" fillId="0" borderId="20" xfId="0" applyNumberFormat="1" applyFont="1" applyFill="1" applyBorder="1" applyAlignment="1">
      <alignment horizontal="left" vertical="center"/>
    </xf>
    <xf numFmtId="0" fontId="19" fillId="0" borderId="59" xfId="0" applyFont="1" applyFill="1" applyBorder="1" applyAlignment="1">
      <alignment horizontal="left" vertical="center" wrapText="1"/>
    </xf>
    <xf numFmtId="4" fontId="19" fillId="0" borderId="24" xfId="0" applyNumberFormat="1" applyFont="1" applyBorder="1" applyAlignment="1">
      <alignment horizontal="right" vertical="center"/>
    </xf>
    <xf numFmtId="10" fontId="19" fillId="0" borderId="22" xfId="0" applyNumberFormat="1" applyFont="1" applyBorder="1" applyAlignment="1">
      <alignment horizontal="center" vertical="center"/>
    </xf>
    <xf numFmtId="0" fontId="19" fillId="5" borderId="57" xfId="0" applyFont="1" applyFill="1" applyBorder="1" applyAlignment="1">
      <alignment horizontal="left" vertical="center" wrapText="1"/>
    </xf>
    <xf numFmtId="0" fontId="19" fillId="5" borderId="57" xfId="0" applyFont="1" applyFill="1" applyBorder="1" applyAlignment="1">
      <alignment horizontal="left" vertical="center"/>
    </xf>
    <xf numFmtId="4" fontId="100" fillId="5" borderId="57" xfId="0" applyNumberFormat="1" applyFont="1" applyFill="1" applyBorder="1" applyAlignment="1">
      <alignment horizontal="left" vertical="center"/>
    </xf>
    <xf numFmtId="0" fontId="19" fillId="5" borderId="57" xfId="0" applyFont="1" applyFill="1" applyBorder="1" applyAlignment="1">
      <alignment horizontal="center" vertical="center"/>
    </xf>
    <xf numFmtId="0" fontId="19" fillId="5" borderId="58" xfId="0" applyFont="1" applyFill="1" applyBorder="1" applyAlignment="1">
      <alignment horizontal="center" vertical="center"/>
    </xf>
    <xf numFmtId="0" fontId="94" fillId="0" borderId="27" xfId="0" applyFont="1" applyFill="1" applyBorder="1" applyAlignment="1">
      <alignment horizontal="left" vertical="center"/>
    </xf>
    <xf numFmtId="0" fontId="19" fillId="0" borderId="15" xfId="0" applyFont="1" applyBorder="1" applyAlignment="1">
      <alignment horizontal="center" vertical="center"/>
    </xf>
    <xf numFmtId="0" fontId="19" fillId="0" borderId="24" xfId="0" applyFont="1" applyBorder="1" applyAlignment="1">
      <alignment horizontal="center" vertical="center"/>
    </xf>
    <xf numFmtId="0" fontId="19" fillId="0" borderId="17" xfId="0" applyFont="1" applyBorder="1" applyAlignment="1">
      <alignment horizontal="center" vertical="center"/>
    </xf>
    <xf numFmtId="0" fontId="94" fillId="0" borderId="0" xfId="0" applyFont="1" applyAlignment="1">
      <alignment horizontal="left" vertical="center"/>
    </xf>
    <xf numFmtId="0" fontId="94" fillId="0" borderId="0" xfId="0" applyFont="1" applyAlignment="1">
      <alignment horizontal="left"/>
    </xf>
    <xf numFmtId="4" fontId="19" fillId="0" borderId="0" xfId="0" applyNumberFormat="1" applyFont="1" applyFill="1" applyBorder="1" applyAlignment="1">
      <alignment horizontal="center" vertical="center"/>
    </xf>
    <xf numFmtId="4" fontId="19" fillId="0" borderId="0" xfId="0" applyNumberFormat="1" applyFont="1" applyBorder="1" applyAlignment="1">
      <alignment vertical="center"/>
    </xf>
    <xf numFmtId="0" fontId="110" fillId="5" borderId="63" xfId="0" applyFont="1" applyFill="1" applyBorder="1" applyAlignment="1">
      <alignment horizontal="center" vertical="center" wrapText="1"/>
    </xf>
    <xf numFmtId="0" fontId="110" fillId="5" borderId="35" xfId="0" applyFont="1" applyFill="1" applyBorder="1" applyAlignment="1">
      <alignment horizontal="center" vertical="center" wrapText="1"/>
    </xf>
    <xf numFmtId="0" fontId="86" fillId="5" borderId="28" xfId="0" applyFont="1" applyFill="1" applyBorder="1" applyAlignment="1">
      <alignment horizontal="left" vertical="center" wrapText="1"/>
    </xf>
    <xf numFmtId="0" fontId="109" fillId="5" borderId="1" xfId="0" applyFont="1" applyFill="1" applyBorder="1" applyAlignment="1">
      <alignment horizontal="left"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9" fillId="0" borderId="12" xfId="0" applyFont="1" applyBorder="1" applyAlignment="1">
      <alignment horizontal="center" vertical="center"/>
    </xf>
    <xf numFmtId="0" fontId="19" fillId="0" borderId="5" xfId="0" applyFont="1" applyBorder="1" applyAlignment="1">
      <alignment horizontal="center" vertical="center"/>
    </xf>
    <xf numFmtId="0" fontId="19" fillId="0" borderId="22" xfId="0" applyFont="1" applyFill="1" applyBorder="1" applyAlignment="1">
      <alignment vertical="center" wrapText="1"/>
    </xf>
    <xf numFmtId="0" fontId="19" fillId="0" borderId="17" xfId="0" applyFont="1" applyFill="1" applyBorder="1" applyAlignment="1">
      <alignment horizontal="center" vertical="center"/>
    </xf>
    <xf numFmtId="0" fontId="19" fillId="0" borderId="17" xfId="0" applyFont="1" applyFill="1" applyBorder="1" applyAlignment="1">
      <alignment horizontal="center" vertical="center" wrapText="1"/>
    </xf>
    <xf numFmtId="0" fontId="94" fillId="0" borderId="22" xfId="0" applyFont="1" applyFill="1" applyBorder="1" applyAlignment="1">
      <alignment vertical="center" wrapText="1"/>
    </xf>
    <xf numFmtId="0" fontId="19" fillId="0" borderId="24" xfId="0" applyFont="1" applyFill="1" applyBorder="1" applyAlignment="1">
      <alignment horizontal="left" vertical="center" wrapText="1"/>
    </xf>
    <xf numFmtId="0" fontId="19" fillId="0" borderId="34" xfId="0" applyFont="1" applyFill="1" applyBorder="1" applyAlignment="1">
      <alignment vertical="center" wrapText="1"/>
    </xf>
    <xf numFmtId="0" fontId="19" fillId="0" borderId="50" xfId="0" applyFont="1" applyFill="1" applyBorder="1" applyAlignment="1">
      <alignment horizontal="center" vertical="center"/>
    </xf>
    <xf numFmtId="0" fontId="19" fillId="0" borderId="33" xfId="0" applyFont="1" applyBorder="1" applyAlignment="1">
      <alignment vertical="center" wrapText="1"/>
    </xf>
    <xf numFmtId="0" fontId="19" fillId="0" borderId="22" xfId="0" applyFont="1" applyBorder="1" applyAlignment="1">
      <alignment vertical="center" wrapText="1"/>
    </xf>
    <xf numFmtId="0" fontId="19" fillId="0" borderId="46" xfId="0" applyFont="1" applyFill="1" applyBorder="1" applyAlignment="1">
      <alignment vertical="center" wrapText="1"/>
    </xf>
    <xf numFmtId="0" fontId="19" fillId="0" borderId="39" xfId="0" applyFont="1" applyFill="1" applyBorder="1" applyAlignment="1">
      <alignment vertical="center" wrapText="1"/>
    </xf>
    <xf numFmtId="0" fontId="19" fillId="0" borderId="64" xfId="0" applyFont="1" applyFill="1" applyBorder="1" applyAlignment="1">
      <alignment horizontal="center" vertical="center"/>
    </xf>
    <xf numFmtId="0" fontId="84" fillId="5" borderId="61" xfId="0" applyFont="1" applyFill="1" applyBorder="1" applyAlignment="1">
      <alignment horizontal="center" vertical="center"/>
    </xf>
    <xf numFmtId="0" fontId="84" fillId="0" borderId="64" xfId="0" applyFont="1" applyBorder="1" applyAlignment="1">
      <alignment horizontal="center" vertical="center"/>
    </xf>
    <xf numFmtId="0" fontId="84" fillId="0" borderId="61" xfId="0" applyFont="1" applyBorder="1" applyAlignment="1">
      <alignment horizontal="center" vertical="center"/>
    </xf>
    <xf numFmtId="0" fontId="84" fillId="0" borderId="57" xfId="0" applyFont="1" applyBorder="1" applyAlignment="1">
      <alignment horizontal="right" vertical="center" wrapText="1"/>
    </xf>
    <xf numFmtId="0" fontId="94" fillId="0" borderId="54" xfId="0" applyFont="1" applyBorder="1" applyAlignment="1">
      <alignment horizontal="center" vertical="center"/>
    </xf>
    <xf numFmtId="4" fontId="107" fillId="0" borderId="55" xfId="0" applyNumberFormat="1" applyFont="1" applyBorder="1" applyAlignment="1">
      <alignment vertical="center"/>
    </xf>
    <xf numFmtId="4" fontId="84" fillId="0" borderId="53"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57" xfId="0" applyFont="1" applyBorder="1" applyAlignment="1">
      <alignment horizontal="center" vertical="center"/>
    </xf>
    <xf numFmtId="0" fontId="19" fillId="0" borderId="23" xfId="0" applyFont="1" applyBorder="1" applyAlignment="1">
      <alignment horizontal="center" vertical="center"/>
    </xf>
    <xf numFmtId="0" fontId="18" fillId="2" borderId="20" xfId="0" applyFont="1" applyFill="1" applyBorder="1" applyAlignment="1">
      <alignment horizontal="left" vertical="center" wrapText="1"/>
    </xf>
    <xf numFmtId="0" fontId="17" fillId="0" borderId="5" xfId="0" applyFont="1" applyBorder="1" applyAlignment="1">
      <alignment vertical="center" wrapText="1"/>
    </xf>
    <xf numFmtId="0" fontId="17" fillId="0" borderId="31" xfId="0" applyFont="1" applyFill="1" applyBorder="1" applyAlignment="1">
      <alignment vertical="center" wrapText="1"/>
    </xf>
    <xf numFmtId="0" fontId="17" fillId="0" borderId="5" xfId="0" applyFont="1" applyFill="1" applyBorder="1" applyAlignment="1">
      <alignment vertical="center" wrapText="1"/>
    </xf>
    <xf numFmtId="0" fontId="17" fillId="0" borderId="12" xfId="0" applyFont="1" applyFill="1" applyBorder="1" applyAlignment="1">
      <alignment vertical="center" wrapText="1"/>
    </xf>
    <xf numFmtId="0" fontId="17" fillId="0" borderId="41" xfId="0" applyFont="1" applyFill="1" applyBorder="1" applyAlignment="1">
      <alignment vertical="center" wrapText="1"/>
    </xf>
    <xf numFmtId="0" fontId="17" fillId="0" borderId="1" xfId="0" applyFont="1" applyFill="1" applyBorder="1" applyAlignment="1">
      <alignment vertical="center" wrapText="1"/>
    </xf>
    <xf numFmtId="0" fontId="16" fillId="0" borderId="58" xfId="0" applyFont="1" applyFill="1" applyBorder="1" applyAlignment="1">
      <alignment vertical="center" wrapText="1"/>
    </xf>
    <xf numFmtId="0" fontId="16" fillId="0" borderId="1" xfId="0" applyFont="1" applyFill="1" applyBorder="1" applyAlignment="1">
      <alignment horizontal="left" vertical="center" wrapText="1"/>
    </xf>
    <xf numFmtId="0" fontId="0" fillId="0" borderId="0" xfId="0" applyAlignment="1">
      <alignment wrapText="1"/>
    </xf>
    <xf numFmtId="0" fontId="19" fillId="0" borderId="1" xfId="0" applyFont="1" applyFill="1" applyBorder="1" applyAlignment="1">
      <alignment horizontal="center" vertical="center"/>
    </xf>
    <xf numFmtId="4" fontId="19" fillId="0" borderId="22" xfId="0" applyNumberFormat="1" applyFont="1" applyBorder="1" applyAlignment="1">
      <alignment horizontal="right" vertical="center"/>
    </xf>
    <xf numFmtId="4" fontId="95" fillId="0" borderId="5" xfId="0" applyNumberFormat="1" applyFont="1" applyBorder="1" applyAlignment="1">
      <alignment horizontal="right" vertical="center"/>
    </xf>
    <xf numFmtId="4" fontId="95" fillId="0" borderId="18" xfId="0" applyNumberFormat="1" applyFont="1" applyBorder="1" applyAlignment="1">
      <alignment horizontal="right" vertical="center"/>
    </xf>
    <xf numFmtId="0" fontId="19" fillId="5" borderId="43" xfId="0" applyFont="1" applyFill="1" applyBorder="1" applyAlignment="1">
      <alignment horizontal="center" vertical="center"/>
    </xf>
    <xf numFmtId="0" fontId="14" fillId="0" borderId="1" xfId="0" applyFont="1" applyFill="1" applyBorder="1" applyAlignment="1">
      <alignment horizontal="left" vertical="center"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8"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4" fontId="84" fillId="0" borderId="57" xfId="0" applyNumberFormat="1" applyFont="1" applyBorder="1"/>
    <xf numFmtId="4" fontId="84" fillId="0" borderId="58" xfId="0" applyNumberFormat="1" applyFont="1" applyBorder="1"/>
    <xf numFmtId="0" fontId="84" fillId="0" borderId="70" xfId="0" applyFont="1" applyBorder="1" applyAlignment="1">
      <alignment horizontal="center"/>
    </xf>
    <xf numFmtId="0" fontId="84" fillId="0" borderId="69" xfId="0" applyFont="1" applyBorder="1" applyAlignment="1">
      <alignment horizontal="center"/>
    </xf>
    <xf numFmtId="0" fontId="84" fillId="0" borderId="67" xfId="0" applyFont="1" applyBorder="1" applyAlignment="1">
      <alignment horizontal="center"/>
    </xf>
    <xf numFmtId="0" fontId="84" fillId="0" borderId="66" xfId="0" applyFont="1" applyBorder="1" applyAlignment="1">
      <alignment horizontal="center"/>
    </xf>
    <xf numFmtId="0" fontId="12" fillId="0" borderId="22" xfId="0" applyFont="1" applyFill="1" applyBorder="1" applyAlignment="1">
      <alignment vertical="center" wrapText="1"/>
    </xf>
    <xf numFmtId="0" fontId="12" fillId="0" borderId="24" xfId="0" applyFont="1" applyFill="1" applyBorder="1" applyAlignment="1">
      <alignment horizontal="left" vertical="center" wrapText="1"/>
    </xf>
    <xf numFmtId="0" fontId="12" fillId="0" borderId="46" xfId="0" applyFont="1" applyFill="1" applyBorder="1" applyAlignment="1">
      <alignment vertical="center" wrapText="1"/>
    </xf>
    <xf numFmtId="0" fontId="11" fillId="0" borderId="22" xfId="0" applyFont="1" applyFill="1" applyBorder="1" applyAlignment="1">
      <alignment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0" fillId="2" borderId="1" xfId="0"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22" xfId="0" applyFont="1" applyFill="1" applyBorder="1" applyAlignment="1">
      <alignmen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8" fillId="0" borderId="22" xfId="0" applyFont="1" applyFill="1" applyBorder="1" applyAlignment="1">
      <alignment vertical="center" wrapText="1"/>
    </xf>
    <xf numFmtId="0" fontId="7" fillId="2" borderId="1" xfId="0" applyFont="1" applyFill="1" applyBorder="1" applyAlignment="1">
      <alignment horizontal="left" vertical="center" wrapText="1"/>
    </xf>
    <xf numFmtId="14" fontId="7" fillId="0" borderId="5" xfId="0" applyNumberFormat="1" applyFont="1" applyFill="1" applyBorder="1" applyAlignment="1">
      <alignment vertical="center" wrapText="1"/>
    </xf>
    <xf numFmtId="0" fontId="6" fillId="0" borderId="59" xfId="0" applyFont="1" applyBorder="1" applyAlignment="1">
      <alignment vertical="center" wrapText="1"/>
    </xf>
    <xf numFmtId="0" fontId="6" fillId="0" borderId="1" xfId="0" applyFont="1" applyBorder="1" applyAlignment="1">
      <alignment horizontal="left" vertical="center"/>
    </xf>
    <xf numFmtId="0" fontId="5" fillId="0" borderId="5" xfId="0" applyFont="1" applyBorder="1" applyAlignment="1">
      <alignment vertical="center" wrapText="1"/>
    </xf>
    <xf numFmtId="0" fontId="4" fillId="0" borderId="1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2" xfId="0" applyFont="1" applyFill="1" applyBorder="1" applyAlignment="1">
      <alignment vertical="center" wrapText="1"/>
    </xf>
    <xf numFmtId="0" fontId="4" fillId="0" borderId="2" xfId="0" applyFont="1" applyFill="1" applyBorder="1" applyAlignment="1">
      <alignment horizontal="left" vertical="center" wrapText="1"/>
    </xf>
    <xf numFmtId="4" fontId="94" fillId="0" borderId="5" xfId="0" applyNumberFormat="1" applyFont="1" applyFill="1" applyBorder="1" applyAlignment="1">
      <alignment vertical="center"/>
    </xf>
    <xf numFmtId="4" fontId="94" fillId="0" borderId="41" xfId="0" applyNumberFormat="1" applyFont="1" applyFill="1" applyBorder="1" applyAlignment="1">
      <alignment vertical="center"/>
    </xf>
    <xf numFmtId="0" fontId="94" fillId="0" borderId="1" xfId="0" applyFont="1" applyFill="1" applyBorder="1" applyAlignment="1">
      <alignment horizontal="left" vertical="center" wrapText="1"/>
    </xf>
    <xf numFmtId="0" fontId="94" fillId="0" borderId="20" xfId="0" applyFont="1" applyFill="1" applyBorder="1" applyAlignment="1">
      <alignment horizontal="left" vertical="center" wrapText="1"/>
    </xf>
    <xf numFmtId="4" fontId="88" fillId="0" borderId="20" xfId="0" applyNumberFormat="1" applyFont="1" applyFill="1" applyBorder="1" applyAlignment="1">
      <alignment horizontal="right" vertical="center"/>
    </xf>
    <xf numFmtId="0" fontId="10" fillId="0" borderId="2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88" fillId="0" borderId="20" xfId="5" applyFont="1" applyBorder="1" applyAlignment="1">
      <alignment horizontal="left" vertical="center" wrapText="1"/>
    </xf>
    <xf numFmtId="0" fontId="19" fillId="0" borderId="20" xfId="0" applyFont="1" applyBorder="1" applyAlignment="1">
      <alignment horizontal="left" vertical="center"/>
    </xf>
    <xf numFmtId="0" fontId="3" fillId="0" borderId="1" xfId="0" applyFont="1" applyFill="1" applyBorder="1" applyAlignment="1">
      <alignment horizontal="left" vertical="center" wrapText="1"/>
    </xf>
    <xf numFmtId="0" fontId="3" fillId="0" borderId="46" xfId="0" applyFont="1" applyBorder="1" applyAlignment="1">
      <alignment vertical="center" wrapText="1"/>
    </xf>
    <xf numFmtId="0" fontId="3" fillId="0" borderId="22" xfId="0" applyFont="1" applyFill="1" applyBorder="1" applyAlignment="1">
      <alignment vertical="center" wrapText="1"/>
    </xf>
    <xf numFmtId="0" fontId="3" fillId="0" borderId="2" xfId="0" applyFont="1" applyFill="1" applyBorder="1" applyAlignment="1">
      <alignment horizontal="left" vertical="center" wrapText="1"/>
    </xf>
    <xf numFmtId="0" fontId="112" fillId="18" borderId="2" xfId="0" applyFont="1" applyFill="1" applyBorder="1" applyAlignment="1">
      <alignment horizontal="left" vertical="center" wrapText="1"/>
    </xf>
    <xf numFmtId="0" fontId="112" fillId="18" borderId="30" xfId="0" applyFont="1" applyFill="1" applyBorder="1" applyAlignment="1">
      <alignment horizontal="left" vertical="center" wrapText="1"/>
    </xf>
    <xf numFmtId="0" fontId="112" fillId="18" borderId="5" xfId="0" applyFont="1" applyFill="1" applyBorder="1" applyAlignment="1">
      <alignment horizontal="left" vertical="center" wrapText="1"/>
    </xf>
    <xf numFmtId="4" fontId="103" fillId="0" borderId="1" xfId="0" applyNumberFormat="1" applyFont="1" applyFill="1" applyBorder="1" applyAlignment="1">
      <alignment horizontal="left" vertical="center"/>
    </xf>
    <xf numFmtId="4" fontId="118" fillId="0" borderId="2" xfId="0" applyNumberFormat="1" applyFont="1" applyFill="1" applyBorder="1" applyAlignment="1">
      <alignment horizontal="left" vertical="center"/>
    </xf>
    <xf numFmtId="4" fontId="118" fillId="0" borderId="30" xfId="0" applyNumberFormat="1" applyFont="1" applyFill="1" applyBorder="1" applyAlignment="1">
      <alignment horizontal="left" vertical="center"/>
    </xf>
    <xf numFmtId="4" fontId="118" fillId="0" borderId="5" xfId="0" applyNumberFormat="1" applyFont="1" applyFill="1" applyBorder="1" applyAlignment="1">
      <alignment horizontal="left" vertical="center"/>
    </xf>
    <xf numFmtId="0" fontId="122" fillId="0" borderId="0" xfId="0" applyFont="1" applyAlignment="1">
      <alignment horizontal="center" wrapText="1"/>
    </xf>
    <xf numFmtId="0" fontId="103" fillId="0" borderId="1" xfId="0" applyFont="1" applyBorder="1" applyAlignment="1">
      <alignment horizontal="left" vertical="top" wrapText="1"/>
    </xf>
    <xf numFmtId="4" fontId="112" fillId="0" borderId="30" xfId="0" applyNumberFormat="1" applyFont="1" applyFill="1" applyBorder="1" applyAlignment="1">
      <alignment horizontal="left" vertical="center"/>
    </xf>
    <xf numFmtId="4" fontId="112" fillId="0" borderId="5" xfId="0" applyNumberFormat="1" applyFont="1" applyFill="1" applyBorder="1" applyAlignment="1">
      <alignment horizontal="left" vertical="center"/>
    </xf>
    <xf numFmtId="0" fontId="117" fillId="18" borderId="2" xfId="0" applyFont="1" applyFill="1" applyBorder="1" applyAlignment="1">
      <alignment horizontal="center" vertical="center" wrapText="1"/>
    </xf>
    <xf numFmtId="0" fontId="117" fillId="18" borderId="30" xfId="0" applyFont="1" applyFill="1" applyBorder="1" applyAlignment="1">
      <alignment horizontal="center" vertical="center" wrapText="1"/>
    </xf>
    <xf numFmtId="0" fontId="116" fillId="18" borderId="17" xfId="0" applyFont="1" applyFill="1" applyBorder="1" applyAlignment="1">
      <alignment horizontal="left" vertical="center" wrapText="1"/>
    </xf>
    <xf numFmtId="0" fontId="112" fillId="0" borderId="1" xfId="0" applyFont="1" applyBorder="1" applyAlignment="1">
      <alignment horizontal="left" vertical="top" wrapText="1"/>
    </xf>
    <xf numFmtId="0" fontId="112" fillId="17" borderId="1" xfId="0" applyFont="1" applyFill="1" applyBorder="1" applyAlignment="1">
      <alignment horizontal="left" vertical="center" wrapText="1"/>
    </xf>
    <xf numFmtId="0" fontId="112" fillId="17" borderId="2" xfId="0" applyFont="1" applyFill="1" applyBorder="1" applyAlignment="1">
      <alignment horizontal="left" vertical="center" wrapText="1"/>
    </xf>
    <xf numFmtId="0" fontId="112" fillId="5" borderId="1" xfId="0" applyFont="1" applyFill="1" applyBorder="1" applyAlignment="1">
      <alignment horizontal="left" vertical="center" wrapText="1"/>
    </xf>
    <xf numFmtId="0" fontId="112" fillId="5" borderId="2" xfId="0" applyFont="1" applyFill="1" applyBorder="1" applyAlignment="1">
      <alignment horizontal="left" vertical="center" wrapText="1"/>
    </xf>
    <xf numFmtId="0" fontId="116" fillId="18" borderId="22" xfId="0" applyFont="1" applyFill="1" applyBorder="1" applyAlignment="1">
      <alignment horizontal="left" vertical="center" wrapText="1"/>
    </xf>
    <xf numFmtId="0" fontId="112" fillId="0" borderId="9" xfId="0" applyFont="1" applyBorder="1" applyAlignment="1">
      <alignment horizontal="left" vertical="center" wrapText="1"/>
    </xf>
    <xf numFmtId="0" fontId="112" fillId="0" borderId="35" xfId="0" applyFont="1" applyBorder="1" applyAlignment="1">
      <alignment horizontal="left" vertical="center" wrapText="1"/>
    </xf>
    <xf numFmtId="4" fontId="103" fillId="0" borderId="2" xfId="0" applyNumberFormat="1" applyFont="1" applyFill="1" applyBorder="1" applyAlignment="1">
      <alignment horizontal="center" vertical="center" wrapText="1"/>
    </xf>
    <xf numFmtId="4" fontId="103" fillId="0" borderId="30" xfId="0" applyNumberFormat="1" applyFont="1" applyFill="1" applyBorder="1" applyAlignment="1">
      <alignment horizontal="center" vertical="center" wrapText="1"/>
    </xf>
    <xf numFmtId="4" fontId="103" fillId="0" borderId="5" xfId="0" applyNumberFormat="1" applyFont="1" applyFill="1" applyBorder="1" applyAlignment="1">
      <alignment horizontal="center" vertical="center" wrapText="1"/>
    </xf>
    <xf numFmtId="4" fontId="103" fillId="0" borderId="1" xfId="0" applyNumberFormat="1" applyFont="1" applyFill="1" applyBorder="1" applyAlignment="1">
      <alignment horizontal="left" vertical="center" wrapText="1"/>
    </xf>
    <xf numFmtId="0" fontId="116" fillId="18" borderId="38" xfId="0" applyFont="1" applyFill="1" applyBorder="1" applyAlignment="1">
      <alignment horizontal="center" vertical="center" wrapText="1"/>
    </xf>
    <xf numFmtId="0" fontId="116" fillId="18" borderId="30" xfId="0" applyFont="1" applyFill="1" applyBorder="1" applyAlignment="1">
      <alignment horizontal="center" vertical="center" wrapText="1"/>
    </xf>
    <xf numFmtId="0" fontId="116" fillId="18" borderId="39" xfId="0" applyFont="1" applyFill="1" applyBorder="1" applyAlignment="1">
      <alignment horizontal="center" vertical="center" wrapText="1"/>
    </xf>
    <xf numFmtId="0" fontId="112" fillId="18" borderId="36" xfId="0" applyFont="1" applyFill="1" applyBorder="1" applyAlignment="1">
      <alignment horizontal="left" vertical="center" wrapText="1"/>
    </xf>
    <xf numFmtId="0" fontId="112" fillId="18" borderId="25" xfId="0" applyFont="1" applyFill="1" applyBorder="1" applyAlignment="1">
      <alignment horizontal="left" vertical="center" wrapText="1"/>
    </xf>
    <xf numFmtId="0" fontId="116" fillId="18" borderId="1" xfId="0" applyFont="1" applyFill="1" applyBorder="1" applyAlignment="1">
      <alignment horizontal="left" vertical="center" wrapText="1"/>
    </xf>
    <xf numFmtId="0" fontId="116" fillId="18" borderId="2" xfId="0" applyFont="1" applyFill="1" applyBorder="1" applyAlignment="1">
      <alignment horizontal="left" vertical="center" wrapText="1"/>
    </xf>
    <xf numFmtId="0" fontId="116" fillId="20" borderId="22" xfId="0" applyFont="1" applyFill="1" applyBorder="1" applyAlignment="1">
      <alignment horizontal="left" vertical="center" wrapText="1"/>
    </xf>
    <xf numFmtId="4" fontId="103" fillId="0" borderId="2" xfId="0" applyNumberFormat="1" applyFont="1" applyFill="1" applyBorder="1" applyAlignment="1">
      <alignment horizontal="left" vertical="center"/>
    </xf>
    <xf numFmtId="4" fontId="103" fillId="0" borderId="30" xfId="0" applyNumberFormat="1" applyFont="1" applyFill="1" applyBorder="1" applyAlignment="1">
      <alignment horizontal="left" vertical="center"/>
    </xf>
    <xf numFmtId="4" fontId="103" fillId="0" borderId="5" xfId="0" applyNumberFormat="1" applyFont="1" applyFill="1" applyBorder="1" applyAlignment="1">
      <alignment horizontal="left" vertical="center"/>
    </xf>
    <xf numFmtId="0" fontId="84" fillId="19" borderId="0" xfId="0" applyFont="1" applyFill="1" applyBorder="1" applyAlignment="1">
      <alignment horizontal="left" wrapText="1"/>
    </xf>
    <xf numFmtId="0" fontId="103" fillId="0" borderId="2" xfId="0" applyFont="1" applyBorder="1" applyAlignment="1">
      <alignment horizontal="left" vertical="top" wrapText="1"/>
    </xf>
    <xf numFmtId="0" fontId="103" fillId="0" borderId="30" xfId="0" applyFont="1" applyBorder="1" applyAlignment="1">
      <alignment horizontal="left" vertical="top" wrapText="1"/>
    </xf>
    <xf numFmtId="0" fontId="103" fillId="0" borderId="5" xfId="0" applyFont="1" applyBorder="1" applyAlignment="1">
      <alignment horizontal="left" vertical="top" wrapText="1"/>
    </xf>
    <xf numFmtId="164" fontId="20"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0" fontId="77" fillId="0" borderId="33" xfId="0" applyNumberFormat="1" applyFont="1" applyBorder="1" applyAlignment="1">
      <alignment horizontal="center" vertical="center"/>
    </xf>
    <xf numFmtId="0" fontId="0" fillId="0" borderId="34" xfId="0" applyBorder="1" applyAlignment="1">
      <alignment horizontal="center" vertical="center"/>
    </xf>
    <xf numFmtId="10" fontId="77" fillId="0" borderId="24" xfId="0" applyNumberFormat="1" applyFont="1" applyBorder="1" applyAlignment="1">
      <alignment horizontal="center" vertical="center"/>
    </xf>
    <xf numFmtId="0" fontId="94" fillId="0" borderId="1" xfId="0" applyFont="1" applyFill="1" applyBorder="1" applyAlignment="1">
      <alignment horizontal="left" vertical="center" wrapText="1"/>
    </xf>
    <xf numFmtId="0" fontId="94" fillId="0" borderId="20"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4" fillId="0" borderId="4" xfId="0" applyFont="1" applyFill="1" applyBorder="1" applyAlignment="1">
      <alignment horizontal="left" vertical="center" wrapText="1"/>
    </xf>
    <xf numFmtId="4" fontId="94" fillId="0" borderId="20" xfId="0" applyNumberFormat="1" applyFont="1" applyFill="1" applyBorder="1" applyAlignment="1">
      <alignment horizontal="center" vertical="center"/>
    </xf>
    <xf numFmtId="0" fontId="94" fillId="0" borderId="3" xfId="0" applyFont="1" applyBorder="1" applyAlignment="1">
      <alignment horizontal="center" vertical="center"/>
    </xf>
    <xf numFmtId="0" fontId="94" fillId="0" borderId="4" xfId="0" applyFont="1" applyBorder="1" applyAlignment="1">
      <alignment horizontal="center" vertical="center"/>
    </xf>
    <xf numFmtId="4" fontId="22"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 fontId="20" fillId="0" borderId="20" xfId="0" applyNumberFormat="1" applyFont="1" applyFill="1" applyBorder="1" applyAlignment="1">
      <alignment horizontal="center" vertical="center"/>
    </xf>
    <xf numFmtId="0" fontId="27" fillId="2" borderId="20" xfId="0" applyFont="1" applyFill="1" applyBorder="1" applyAlignment="1">
      <alignment horizontal="left" vertical="center" wrapText="1"/>
    </xf>
    <xf numFmtId="4" fontId="77" fillId="0" borderId="20" xfId="0" applyNumberFormat="1" applyFont="1" applyFill="1" applyBorder="1" applyAlignment="1">
      <alignment horizontal="right" vertical="center"/>
    </xf>
    <xf numFmtId="4" fontId="77" fillId="0" borderId="4" xfId="0" applyNumberFormat="1" applyFont="1" applyFill="1" applyBorder="1" applyAlignment="1">
      <alignment horizontal="right" vertical="center"/>
    </xf>
    <xf numFmtId="0" fontId="94" fillId="0" borderId="20" xfId="0" applyFont="1" applyBorder="1" applyAlignment="1">
      <alignment horizontal="left" vertical="center" wrapText="1"/>
    </xf>
    <xf numFmtId="0" fontId="0" fillId="0" borderId="3" xfId="0" applyBorder="1"/>
    <xf numFmtId="0" fontId="0" fillId="0" borderId="4" xfId="0" applyBorder="1"/>
    <xf numFmtId="4" fontId="23" fillId="0" borderId="20" xfId="0" applyNumberFormat="1" applyFont="1" applyBorder="1" applyAlignment="1">
      <alignment horizontal="center" vertical="center"/>
    </xf>
    <xf numFmtId="4" fontId="22" fillId="0" borderId="20" xfId="0" applyNumberFormat="1" applyFont="1" applyFill="1" applyBorder="1" applyAlignment="1">
      <alignment horizontal="center" vertical="center" wrapText="1"/>
    </xf>
    <xf numFmtId="4" fontId="22" fillId="0" borderId="3" xfId="0" applyNumberFormat="1" applyFont="1" applyFill="1" applyBorder="1" applyAlignment="1">
      <alignment horizontal="center" vertical="center" wrapText="1"/>
    </xf>
    <xf numFmtId="0" fontId="77" fillId="0" borderId="37"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94" fillId="0" borderId="50" xfId="9" applyFont="1"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center" vertical="center"/>
    </xf>
    <xf numFmtId="4" fontId="94" fillId="0" borderId="37" xfId="0" applyNumberFormat="1" applyFont="1" applyBorder="1" applyAlignment="1">
      <alignment horizontal="right" vertical="center"/>
    </xf>
    <xf numFmtId="0" fontId="0" fillId="0" borderId="16" xfId="0" applyBorder="1" applyAlignment="1">
      <alignment horizontal="right" vertical="center"/>
    </xf>
    <xf numFmtId="4" fontId="108" fillId="2" borderId="50" xfId="0" applyNumberFormat="1" applyFont="1" applyFill="1" applyBorder="1" applyAlignment="1">
      <alignment horizontal="right" vertical="center"/>
    </xf>
    <xf numFmtId="0" fontId="0" fillId="0" borderId="15" xfId="0" applyBorder="1" applyAlignment="1">
      <alignment horizontal="right" vertical="center"/>
    </xf>
    <xf numFmtId="4" fontId="77" fillId="2" borderId="33" xfId="0" applyNumberFormat="1" applyFont="1" applyFill="1" applyBorder="1" applyAlignment="1">
      <alignment horizontal="right" vertical="center"/>
    </xf>
    <xf numFmtId="0" fontId="0" fillId="0" borderId="24" xfId="0" applyBorder="1" applyAlignment="1">
      <alignment horizontal="right" vertical="center"/>
    </xf>
    <xf numFmtId="0" fontId="59" fillId="2" borderId="37" xfId="0" applyFont="1" applyFill="1" applyBorder="1" applyAlignment="1">
      <alignment horizontal="left" vertical="center" wrapText="1"/>
    </xf>
    <xf numFmtId="0" fontId="0" fillId="0" borderId="16" xfId="0" applyBorder="1" applyAlignment="1">
      <alignment horizontal="left" vertical="center" wrapText="1"/>
    </xf>
    <xf numFmtId="0" fontId="0" fillId="0" borderId="20" xfId="0" applyFill="1" applyBorder="1" applyAlignment="1">
      <alignment horizontal="left" vertical="center" wrapText="1"/>
    </xf>
    <xf numFmtId="0" fontId="94" fillId="2" borderId="37" xfId="0" applyFont="1" applyFill="1" applyBorder="1" applyAlignment="1">
      <alignment horizontal="left" vertical="center" wrapText="1"/>
    </xf>
    <xf numFmtId="0" fontId="94" fillId="2" borderId="16" xfId="0" applyFont="1" applyFill="1" applyBorder="1" applyAlignment="1">
      <alignment horizontal="left" vertical="center" wrapText="1"/>
    </xf>
    <xf numFmtId="0" fontId="94" fillId="2" borderId="40" xfId="0" applyFont="1" applyFill="1" applyBorder="1" applyAlignment="1">
      <alignment horizontal="left" vertical="center" wrapText="1"/>
    </xf>
    <xf numFmtId="0" fontId="9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0" fillId="0" borderId="34" xfId="0" applyBorder="1" applyAlignment="1">
      <alignment horizontal="right" vertical="center"/>
    </xf>
    <xf numFmtId="10" fontId="77" fillId="0" borderId="34" xfId="0" applyNumberFormat="1" applyFont="1" applyBorder="1" applyAlignment="1">
      <alignment horizontal="center" vertical="center"/>
    </xf>
    <xf numFmtId="0" fontId="13" fillId="0" borderId="50" xfId="0" applyFont="1" applyBorder="1" applyAlignment="1">
      <alignment vertical="center" wrapText="1"/>
    </xf>
    <xf numFmtId="0" fontId="0" fillId="0" borderId="15" xfId="0" applyBorder="1" applyAlignment="1">
      <alignment vertical="center" wrapText="1"/>
    </xf>
    <xf numFmtId="0" fontId="94" fillId="0" borderId="50" xfId="0" applyFont="1" applyFill="1" applyBorder="1" applyAlignment="1">
      <alignment vertical="center" wrapText="1" shrinkToFit="1"/>
    </xf>
    <xf numFmtId="0" fontId="0" fillId="0" borderId="49" xfId="0" applyBorder="1" applyAlignment="1">
      <alignment vertical="center" wrapText="1" shrinkToFit="1"/>
    </xf>
    <xf numFmtId="0" fontId="0" fillId="0" borderId="15" xfId="0" applyBorder="1" applyAlignment="1">
      <alignment vertical="center" wrapText="1" shrinkToFit="1"/>
    </xf>
    <xf numFmtId="0" fontId="77" fillId="2" borderId="20" xfId="0" applyFont="1" applyFill="1" applyBorder="1" applyAlignment="1">
      <alignment horizontal="left" vertical="center" wrapText="1"/>
    </xf>
    <xf numFmtId="0" fontId="52" fillId="2" borderId="37" xfId="0" applyFont="1" applyFill="1" applyBorder="1" applyAlignment="1">
      <alignment horizontal="left" vertical="center" wrapText="1"/>
    </xf>
    <xf numFmtId="0" fontId="0" fillId="0" borderId="40" xfId="0" applyBorder="1" applyAlignment="1">
      <alignment horizontal="left" vertical="center" wrapText="1"/>
    </xf>
    <xf numFmtId="0" fontId="77" fillId="0" borderId="20" xfId="8" applyFont="1" applyBorder="1" applyAlignment="1">
      <alignment horizontal="left" vertical="center" wrapText="1"/>
    </xf>
    <xf numFmtId="0" fontId="77" fillId="0" borderId="3" xfId="8" applyFont="1" applyBorder="1" applyAlignment="1">
      <alignment horizontal="left" vertical="center" wrapText="1"/>
    </xf>
    <xf numFmtId="0" fontId="77" fillId="0" borderId="20" xfId="0" applyFont="1" applyBorder="1" applyAlignment="1">
      <alignment horizontal="left" vertical="center"/>
    </xf>
    <xf numFmtId="0" fontId="77" fillId="0" borderId="3" xfId="0" applyFont="1" applyBorder="1" applyAlignment="1">
      <alignment horizontal="left" vertical="center"/>
    </xf>
    <xf numFmtId="0" fontId="0" fillId="0" borderId="4" xfId="0" applyBorder="1" applyAlignment="1">
      <alignment horizontal="left" vertical="center"/>
    </xf>
    <xf numFmtId="4" fontId="77" fillId="0" borderId="20" xfId="0" applyNumberFormat="1" applyFont="1" applyBorder="1" applyAlignment="1">
      <alignment horizontal="right" vertical="center"/>
    </xf>
    <xf numFmtId="4" fontId="77" fillId="0" borderId="3" xfId="0" applyNumberFormat="1" applyFont="1" applyBorder="1" applyAlignment="1">
      <alignment horizontal="right" vertical="center"/>
    </xf>
    <xf numFmtId="0" fontId="0" fillId="0" borderId="4" xfId="0" applyBorder="1" applyAlignment="1">
      <alignment horizontal="right" vertical="center"/>
    </xf>
    <xf numFmtId="0" fontId="77" fillId="0" borderId="20" xfId="0" applyFont="1" applyBorder="1" applyAlignment="1">
      <alignment horizontal="left" vertical="center" wrapText="1"/>
    </xf>
    <xf numFmtId="0" fontId="77" fillId="0" borderId="3" xfId="0" applyFont="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right" vertical="center"/>
    </xf>
    <xf numFmtId="0" fontId="77" fillId="2" borderId="37" xfId="0" applyFont="1" applyFill="1" applyBorder="1" applyAlignment="1">
      <alignment horizontal="left" vertical="center" wrapText="1"/>
    </xf>
    <xf numFmtId="0" fontId="77" fillId="2" borderId="16" xfId="0" applyFont="1" applyFill="1" applyBorder="1" applyAlignment="1">
      <alignment horizontal="left" vertical="center" wrapText="1"/>
    </xf>
    <xf numFmtId="0" fontId="72" fillId="2" borderId="37" xfId="0" applyFont="1" applyFill="1" applyBorder="1" applyAlignment="1">
      <alignment horizontal="left" vertical="center" wrapText="1"/>
    </xf>
    <xf numFmtId="4" fontId="23" fillId="0" borderId="21" xfId="0" applyNumberFormat="1" applyFont="1" applyFill="1" applyBorder="1" applyAlignment="1">
      <alignment horizontal="center" vertical="center"/>
    </xf>
    <xf numFmtId="0" fontId="77" fillId="0" borderId="21" xfId="8" applyFont="1" applyBorder="1" applyAlignment="1">
      <alignment horizontal="left" vertical="center" wrapText="1"/>
    </xf>
    <xf numFmtId="0" fontId="77" fillId="0" borderId="21" xfId="0" applyFont="1" applyBorder="1" applyAlignment="1">
      <alignment horizontal="left" vertical="center"/>
    </xf>
    <xf numFmtId="4" fontId="77" fillId="0" borderId="21" xfId="0" applyNumberFormat="1" applyFont="1" applyFill="1" applyBorder="1" applyAlignment="1">
      <alignment horizontal="right" vertical="center"/>
    </xf>
    <xf numFmtId="4" fontId="77" fillId="0" borderId="3" xfId="0" applyNumberFormat="1" applyFont="1" applyFill="1" applyBorder="1" applyAlignment="1">
      <alignment horizontal="right" vertical="center"/>
    </xf>
    <xf numFmtId="0" fontId="77" fillId="2" borderId="1" xfId="0" applyFont="1" applyFill="1" applyBorder="1" applyAlignment="1">
      <alignment horizontal="left" vertical="center" wrapText="1"/>
    </xf>
    <xf numFmtId="0" fontId="77" fillId="0" borderId="20" xfId="0" applyFont="1" applyFill="1" applyBorder="1" applyAlignment="1">
      <alignment horizontal="left" vertical="center" wrapText="1"/>
    </xf>
    <xf numFmtId="0" fontId="77" fillId="0" borderId="3" xfId="0" applyFont="1" applyFill="1" applyBorder="1" applyAlignment="1">
      <alignment horizontal="left" vertical="center" wrapText="1"/>
    </xf>
    <xf numFmtId="0" fontId="77" fillId="0" borderId="4" xfId="0" applyFont="1" applyFill="1" applyBorder="1" applyAlignment="1">
      <alignment horizontal="left" vertical="center" wrapText="1"/>
    </xf>
    <xf numFmtId="0" fontId="74" fillId="2" borderId="37" xfId="0" applyFont="1" applyFill="1" applyBorder="1" applyAlignment="1">
      <alignment horizontal="left" vertical="center" wrapText="1"/>
    </xf>
    <xf numFmtId="0" fontId="74" fillId="2" borderId="16" xfId="0" applyFont="1" applyFill="1" applyBorder="1" applyAlignment="1">
      <alignment horizontal="left" vertical="center" wrapText="1"/>
    </xf>
    <xf numFmtId="0" fontId="77" fillId="2" borderId="21" xfId="0" applyFont="1" applyFill="1" applyBorder="1" applyAlignment="1">
      <alignment horizontal="left" vertical="center" wrapText="1"/>
    </xf>
    <xf numFmtId="0" fontId="77" fillId="2" borderId="3" xfId="0" applyFont="1" applyFill="1" applyBorder="1" applyAlignment="1">
      <alignment horizontal="left" vertical="center" wrapText="1"/>
    </xf>
    <xf numFmtId="4" fontId="94" fillId="2" borderId="33" xfId="0" applyNumberFormat="1" applyFont="1" applyFill="1" applyBorder="1" applyAlignment="1">
      <alignment horizontal="right" vertical="center"/>
    </xf>
    <xf numFmtId="4" fontId="94" fillId="2" borderId="24" xfId="0" applyNumberFormat="1" applyFont="1" applyFill="1" applyBorder="1" applyAlignment="1">
      <alignment horizontal="right" vertical="center"/>
    </xf>
    <xf numFmtId="4" fontId="77" fillId="0" borderId="37" xfId="0" applyNumberFormat="1" applyFont="1" applyBorder="1" applyAlignment="1">
      <alignment vertical="center"/>
    </xf>
    <xf numFmtId="0" fontId="0" fillId="0" borderId="16" xfId="0" applyBorder="1" applyAlignment="1">
      <alignment vertical="center"/>
    </xf>
    <xf numFmtId="0" fontId="77" fillId="0" borderId="21" xfId="0" applyFont="1" applyFill="1" applyBorder="1" applyAlignment="1">
      <alignment horizontal="left" vertical="center" wrapText="1"/>
    </xf>
    <xf numFmtId="4" fontId="88" fillId="0" borderId="20" xfId="0" applyNumberFormat="1" applyFont="1" applyFill="1" applyBorder="1" applyAlignment="1">
      <alignment horizontal="right" vertical="center"/>
    </xf>
    <xf numFmtId="4" fontId="88" fillId="0" borderId="3" xfId="0" applyNumberFormat="1" applyFont="1" applyFill="1" applyBorder="1" applyAlignment="1">
      <alignment horizontal="right" vertical="center"/>
    </xf>
    <xf numFmtId="0" fontId="26" fillId="0" borderId="20" xfId="0" applyFont="1" applyFill="1" applyBorder="1" applyAlignment="1">
      <alignment horizontal="left" vertical="center" wrapText="1"/>
    </xf>
    <xf numFmtId="0" fontId="77" fillId="0" borderId="20"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3" xfId="0" applyFont="1" applyFill="1" applyBorder="1" applyAlignment="1">
      <alignment horizontal="center" vertical="center" wrapText="1"/>
    </xf>
    <xf numFmtId="0" fontId="73" fillId="0" borderId="21" xfId="0" applyFont="1" applyFill="1" applyBorder="1" applyAlignment="1">
      <alignment horizontal="left" vertical="center" wrapText="1"/>
    </xf>
    <xf numFmtId="0" fontId="26" fillId="0" borderId="20" xfId="8" applyFont="1" applyBorder="1" applyAlignment="1">
      <alignment horizontal="left" vertical="center" wrapText="1"/>
    </xf>
    <xf numFmtId="0" fontId="77" fillId="0" borderId="20" xfId="0" applyFont="1" applyFill="1" applyBorder="1" applyAlignment="1">
      <alignment horizontal="left" vertical="center"/>
    </xf>
    <xf numFmtId="0" fontId="77" fillId="0" borderId="3" xfId="0" applyFont="1" applyFill="1" applyBorder="1" applyAlignment="1">
      <alignment horizontal="left" vertical="center"/>
    </xf>
    <xf numFmtId="0" fontId="88" fillId="0" borderId="20" xfId="8" applyFont="1" applyBorder="1" applyAlignment="1">
      <alignment horizontal="left" vertical="center" wrapText="1"/>
    </xf>
    <xf numFmtId="0" fontId="88" fillId="0" borderId="3" xfId="8" applyFont="1" applyBorder="1" applyAlignment="1">
      <alignment horizontal="left" vertical="center" wrapText="1"/>
    </xf>
    <xf numFmtId="4" fontId="77" fillId="0" borderId="20" xfId="0" applyNumberFormat="1" applyFont="1" applyFill="1" applyBorder="1" applyAlignment="1">
      <alignment horizontal="right" vertical="center" wrapText="1"/>
    </xf>
    <xf numFmtId="4" fontId="77" fillId="0" borderId="3" xfId="0" applyNumberFormat="1" applyFont="1" applyFill="1" applyBorder="1" applyAlignment="1">
      <alignment horizontal="right" vertical="center" wrapText="1"/>
    </xf>
    <xf numFmtId="4" fontId="77" fillId="0" borderId="4" xfId="0" applyNumberFormat="1" applyFont="1" applyFill="1" applyBorder="1" applyAlignment="1">
      <alignment horizontal="right" vertical="center" wrapText="1"/>
    </xf>
    <xf numFmtId="0" fontId="77" fillId="0" borderId="20" xfId="0" applyFont="1" applyFill="1" applyBorder="1" applyAlignment="1">
      <alignment vertical="center" wrapText="1"/>
    </xf>
    <xf numFmtId="0" fontId="77" fillId="0" borderId="3" xfId="0" applyFont="1" applyFill="1" applyBorder="1" applyAlignment="1">
      <alignment vertical="center" wrapText="1"/>
    </xf>
    <xf numFmtId="0" fontId="0" fillId="0" borderId="4" xfId="0" applyBorder="1" applyAlignment="1">
      <alignment vertical="center" wrapText="1"/>
    </xf>
    <xf numFmtId="0" fontId="88" fillId="0" borderId="20" xfId="9" applyFont="1" applyBorder="1" applyAlignment="1">
      <alignment horizontal="left" vertical="center" wrapText="1"/>
    </xf>
    <xf numFmtId="0" fontId="88" fillId="0" borderId="3" xfId="9" applyFont="1" applyBorder="1" applyAlignment="1">
      <alignment horizontal="left" vertical="center" wrapText="1"/>
    </xf>
    <xf numFmtId="0" fontId="106" fillId="0" borderId="20" xfId="9" applyFont="1" applyBorder="1" applyAlignment="1">
      <alignment horizontal="left" vertical="center" wrapText="1"/>
    </xf>
    <xf numFmtId="0" fontId="106" fillId="0" borderId="3" xfId="9" applyFont="1" applyBorder="1" applyAlignment="1">
      <alignment horizontal="left" vertical="center" wrapText="1"/>
    </xf>
    <xf numFmtId="0" fontId="0" fillId="0" borderId="3" xfId="0" applyBorder="1" applyAlignment="1"/>
    <xf numFmtId="0" fontId="0" fillId="0" borderId="4" xfId="0" applyBorder="1" applyAlignment="1"/>
    <xf numFmtId="0" fontId="70" fillId="2" borderId="20" xfId="0" applyFont="1" applyFill="1" applyBorder="1" applyAlignment="1">
      <alignment horizontal="left" vertical="center" wrapText="1"/>
    </xf>
    <xf numFmtId="0" fontId="71" fillId="2" borderId="3" xfId="0" applyFont="1" applyFill="1" applyBorder="1" applyAlignment="1">
      <alignment horizontal="left" vertical="center" wrapText="1"/>
    </xf>
    <xf numFmtId="0" fontId="94" fillId="0" borderId="1" xfId="9" applyFont="1" applyBorder="1" applyAlignment="1">
      <alignment horizontal="left" vertical="center" wrapText="1"/>
    </xf>
    <xf numFmtId="0" fontId="0" fillId="0" borderId="1" xfId="0" applyBorder="1" applyAlignment="1">
      <alignment horizontal="left" vertical="center" wrapText="1"/>
    </xf>
    <xf numFmtId="0" fontId="94" fillId="0" borderId="3" xfId="0" applyFont="1" applyFill="1" applyBorder="1" applyAlignment="1">
      <alignment horizontal="left" vertical="center" wrapText="1"/>
    </xf>
    <xf numFmtId="4" fontId="94" fillId="0" borderId="20" xfId="0" applyNumberFormat="1" applyFont="1" applyBorder="1" applyAlignment="1">
      <alignment horizontal="center" vertical="center" wrapText="1"/>
    </xf>
    <xf numFmtId="4" fontId="21" fillId="0" borderId="20" xfId="0" applyNumberFormat="1" applyFont="1" applyFill="1" applyBorder="1" applyAlignment="1">
      <alignment horizontal="center" vertical="center"/>
    </xf>
    <xf numFmtId="4" fontId="94" fillId="0" borderId="3" xfId="0" applyNumberFormat="1" applyFont="1" applyFill="1" applyBorder="1" applyAlignment="1">
      <alignment horizontal="center" vertical="center"/>
    </xf>
    <xf numFmtId="0" fontId="66" fillId="2" borderId="20" xfId="0" applyFont="1" applyFill="1" applyBorder="1" applyAlignment="1">
      <alignment horizontal="left" vertical="center" wrapText="1"/>
    </xf>
    <xf numFmtId="0" fontId="77" fillId="2" borderId="40" xfId="0" applyFont="1" applyFill="1" applyBorder="1" applyAlignment="1">
      <alignment horizontal="left" vertical="center" wrapText="1"/>
    </xf>
    <xf numFmtId="0" fontId="77" fillId="0" borderId="1" xfId="0" applyFont="1" applyBorder="1" applyAlignment="1">
      <alignment horizontal="left" vertical="center"/>
    </xf>
    <xf numFmtId="0" fontId="77" fillId="0" borderId="1" xfId="0" applyFont="1" applyFill="1" applyBorder="1" applyAlignment="1">
      <alignment horizontal="left" vertical="center" wrapText="1"/>
    </xf>
    <xf numFmtId="0" fontId="77" fillId="0" borderId="1" xfId="0" applyFont="1" applyBorder="1" applyAlignment="1">
      <alignment horizontal="left" vertical="center" wrapText="1"/>
    </xf>
    <xf numFmtId="0" fontId="40" fillId="0" borderId="1" xfId="0" applyFont="1" applyFill="1" applyBorder="1" applyAlignment="1">
      <alignment horizontal="left" vertical="center" wrapText="1"/>
    </xf>
    <xf numFmtId="0" fontId="10" fillId="0" borderId="20" xfId="0" applyFont="1" applyFill="1" applyBorder="1" applyAlignment="1">
      <alignment vertical="center" wrapText="1"/>
    </xf>
    <xf numFmtId="0" fontId="0" fillId="0" borderId="3" xfId="0" applyBorder="1" applyAlignment="1">
      <alignment vertical="center" wrapText="1"/>
    </xf>
    <xf numFmtId="0" fontId="10" fillId="0" borderId="20" xfId="0" applyFont="1" applyFill="1" applyBorder="1" applyAlignment="1">
      <alignment horizontal="left" vertical="center" wrapText="1"/>
    </xf>
    <xf numFmtId="164" fontId="53" fillId="2" borderId="20" xfId="0" applyNumberFormat="1" applyFont="1" applyFill="1" applyBorder="1" applyAlignment="1">
      <alignment vertical="center" wrapText="1"/>
    </xf>
    <xf numFmtId="164" fontId="53" fillId="2" borderId="3" xfId="0" applyNumberFormat="1" applyFont="1" applyFill="1" applyBorder="1" applyAlignment="1">
      <alignment vertical="center" wrapText="1"/>
    </xf>
    <xf numFmtId="164" fontId="53" fillId="2" borderId="4" xfId="0" applyNumberFormat="1" applyFont="1" applyFill="1" applyBorder="1" applyAlignment="1">
      <alignment vertical="center" wrapText="1"/>
    </xf>
    <xf numFmtId="0" fontId="0" fillId="0" borderId="20" xfId="0" applyBorder="1" applyAlignment="1">
      <alignment horizontal="left" vertical="center" wrapText="1"/>
    </xf>
    <xf numFmtId="0" fontId="77" fillId="0" borderId="1" xfId="0" applyFont="1" applyFill="1" applyBorder="1" applyAlignment="1">
      <alignment horizontal="center" vertical="center" wrapText="1"/>
    </xf>
    <xf numFmtId="0" fontId="71" fillId="0" borderId="20" xfId="0" applyFont="1" applyBorder="1" applyAlignment="1">
      <alignment horizontal="left" vertical="center"/>
    </xf>
    <xf numFmtId="0" fontId="71" fillId="0" borderId="4" xfId="0" applyFont="1" applyBorder="1" applyAlignment="1">
      <alignment horizontal="left" vertical="center"/>
    </xf>
    <xf numFmtId="0" fontId="71" fillId="0" borderId="20" xfId="0" applyFont="1" applyFill="1" applyBorder="1" applyAlignment="1">
      <alignment horizontal="left" vertical="center" wrapText="1"/>
    </xf>
    <xf numFmtId="0" fontId="71" fillId="0" borderId="4" xfId="0" applyFont="1" applyFill="1" applyBorder="1" applyAlignment="1">
      <alignment horizontal="left" vertical="center" wrapText="1"/>
    </xf>
    <xf numFmtId="0" fontId="88" fillId="0" borderId="20" xfId="0" applyFont="1" applyBorder="1" applyAlignment="1">
      <alignment horizontal="left" vertical="center" wrapText="1"/>
    </xf>
    <xf numFmtId="0" fontId="88" fillId="0" borderId="4" xfId="0" applyFont="1" applyBorder="1" applyAlignment="1">
      <alignment horizontal="left" vertical="center" wrapText="1"/>
    </xf>
    <xf numFmtId="0" fontId="70" fillId="0" borderId="20" xfId="0" applyFont="1" applyFill="1" applyBorder="1" applyAlignment="1">
      <alignment horizontal="center" vertical="center" wrapText="1"/>
    </xf>
    <xf numFmtId="0" fontId="70" fillId="0" borderId="20" xfId="0" applyFont="1" applyFill="1" applyBorder="1" applyAlignment="1">
      <alignment horizontal="left" vertical="center" wrapText="1"/>
    </xf>
    <xf numFmtId="0" fontId="69" fillId="0" borderId="20" xfId="0" applyFont="1" applyFill="1" applyBorder="1" applyAlignment="1">
      <alignment horizontal="center" vertical="center" wrapText="1"/>
    </xf>
    <xf numFmtId="0" fontId="69" fillId="0" borderId="20" xfId="0" applyFont="1" applyFill="1" applyBorder="1" applyAlignment="1">
      <alignment vertical="center" wrapText="1"/>
    </xf>
    <xf numFmtId="0" fontId="88" fillId="0" borderId="20" xfId="8" applyFont="1" applyFill="1" applyBorder="1" applyAlignment="1">
      <alignment horizontal="left" vertical="center" wrapText="1"/>
    </xf>
    <xf numFmtId="0" fontId="71" fillId="0" borderId="3" xfId="0" applyFont="1" applyFill="1" applyBorder="1" applyAlignment="1">
      <alignment horizontal="left" vertical="center" wrapText="1"/>
    </xf>
    <xf numFmtId="0" fontId="88" fillId="0" borderId="20" xfId="9" applyFont="1" applyBorder="1" applyAlignment="1">
      <alignment vertical="center" wrapText="1"/>
    </xf>
    <xf numFmtId="0" fontId="84" fillId="2" borderId="27" xfId="0" applyFont="1" applyFill="1" applyBorder="1" applyAlignment="1">
      <alignment horizontal="left" vertical="center" wrapText="1"/>
    </xf>
    <xf numFmtId="0" fontId="84" fillId="2" borderId="46" xfId="0" applyFont="1" applyFill="1" applyBorder="1" applyAlignment="1">
      <alignment horizontal="left" vertical="center" wrapText="1"/>
    </xf>
    <xf numFmtId="0" fontId="94" fillId="0" borderId="16" xfId="0" applyFont="1" applyBorder="1" applyAlignment="1">
      <alignment horizontal="left" vertical="center" wrapText="1"/>
    </xf>
    <xf numFmtId="0" fontId="21" fillId="0" borderId="20" xfId="0" applyFont="1" applyFill="1" applyBorder="1" applyAlignment="1">
      <alignment horizontal="left" vertical="center" wrapText="1"/>
    </xf>
    <xf numFmtId="0" fontId="68" fillId="0" borderId="20" xfId="8" applyFont="1" applyBorder="1" applyAlignment="1">
      <alignment horizontal="left" vertical="center" wrapText="1"/>
    </xf>
    <xf numFmtId="0" fontId="77" fillId="0" borderId="4" xfId="8" applyFont="1" applyBorder="1" applyAlignment="1">
      <alignment horizontal="left" vertical="center" wrapText="1"/>
    </xf>
    <xf numFmtId="0" fontId="77" fillId="0" borderId="4" xfId="0" applyFont="1" applyFill="1" applyBorder="1" applyAlignment="1">
      <alignment horizontal="left" vertical="center"/>
    </xf>
    <xf numFmtId="0" fontId="8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0" fillId="0" borderId="20" xfId="0" applyBorder="1" applyAlignment="1">
      <alignment horizontal="center" vertical="center" wrapText="1"/>
    </xf>
    <xf numFmtId="0" fontId="98"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5"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86" fillId="17" borderId="1" xfId="0" applyFont="1" applyFill="1" applyBorder="1" applyAlignment="1">
      <alignment vertical="center" wrapText="1"/>
    </xf>
    <xf numFmtId="0" fontId="86" fillId="17" borderId="20" xfId="0" applyFont="1" applyFill="1" applyBorder="1" applyAlignment="1">
      <alignment vertical="center" wrapText="1"/>
    </xf>
    <xf numFmtId="0" fontId="86" fillId="17" borderId="20" xfId="0" applyFont="1" applyFill="1" applyBorder="1" applyAlignment="1">
      <alignment horizontal="center" vertical="center" textRotation="90" wrapText="1"/>
    </xf>
    <xf numFmtId="0" fontId="86" fillId="17" borderId="4" xfId="0" applyFont="1" applyFill="1" applyBorder="1" applyAlignment="1">
      <alignment horizontal="center" vertical="center" textRotation="90" wrapText="1"/>
    </xf>
    <xf numFmtId="0" fontId="111" fillId="17" borderId="1" xfId="0" applyFont="1" applyFill="1" applyBorder="1" applyAlignment="1">
      <alignment vertical="center" wrapText="1"/>
    </xf>
    <xf numFmtId="0" fontId="111" fillId="17" borderId="20" xfId="0" applyFont="1" applyFill="1" applyBorder="1" applyAlignment="1">
      <alignment vertical="center" wrapText="1"/>
    </xf>
    <xf numFmtId="0" fontId="86" fillId="17" borderId="33" xfId="0" applyFont="1" applyFill="1" applyBorder="1" applyAlignment="1">
      <alignment horizontal="left" vertical="center" wrapText="1"/>
    </xf>
    <xf numFmtId="0" fontId="86" fillId="17" borderId="24" xfId="0" applyFont="1" applyFill="1" applyBorder="1" applyAlignment="1">
      <alignment horizontal="left" vertical="center" wrapText="1"/>
    </xf>
    <xf numFmtId="0" fontId="86" fillId="17" borderId="33" xfId="0" applyFont="1" applyFill="1" applyBorder="1" applyAlignment="1">
      <alignment vertical="center" wrapText="1"/>
    </xf>
    <xf numFmtId="0" fontId="86" fillId="17" borderId="34" xfId="0" applyFont="1" applyFill="1" applyBorder="1" applyAlignment="1">
      <alignment vertical="center" wrapText="1"/>
    </xf>
    <xf numFmtId="0" fontId="84" fillId="17" borderId="38" xfId="0" applyFont="1" applyFill="1" applyBorder="1" applyAlignment="1">
      <alignment horizontal="center" vertical="center" wrapText="1"/>
    </xf>
    <xf numFmtId="0" fontId="84" fillId="17" borderId="30" xfId="0" applyFont="1" applyFill="1" applyBorder="1" applyAlignment="1">
      <alignment horizontal="center" vertical="center" wrapText="1"/>
    </xf>
    <xf numFmtId="0" fontId="84" fillId="17" borderId="39" xfId="0" applyFont="1" applyFill="1" applyBorder="1" applyAlignment="1">
      <alignment horizontal="center" vertical="center" wrapText="1"/>
    </xf>
    <xf numFmtId="0" fontId="86" fillId="17" borderId="22" xfId="0" applyFont="1" applyFill="1" applyBorder="1" applyAlignment="1">
      <alignment vertical="center" wrapText="1"/>
    </xf>
    <xf numFmtId="0" fontId="86" fillId="17" borderId="2" xfId="0" applyFont="1" applyFill="1" applyBorder="1" applyAlignment="1">
      <alignment vertical="center" wrapText="1"/>
    </xf>
    <xf numFmtId="0" fontId="86" fillId="17" borderId="7" xfId="0" applyFont="1" applyFill="1" applyBorder="1" applyAlignment="1">
      <alignment vertical="center" wrapText="1"/>
    </xf>
    <xf numFmtId="0" fontId="86" fillId="17" borderId="50" xfId="0" applyFont="1" applyFill="1" applyBorder="1" applyAlignment="1">
      <alignment vertical="center" wrapText="1"/>
    </xf>
    <xf numFmtId="0" fontId="86" fillId="17" borderId="49" xfId="0" applyFont="1" applyFill="1" applyBorder="1" applyAlignment="1">
      <alignment vertical="center" wrapText="1"/>
    </xf>
    <xf numFmtId="0" fontId="94" fillId="0" borderId="47" xfId="0" applyFont="1" applyBorder="1" applyAlignment="1">
      <alignment horizontal="left" vertical="center" wrapText="1"/>
    </xf>
    <xf numFmtId="0" fontId="94" fillId="0" borderId="49" xfId="0" applyFont="1" applyBorder="1" applyAlignment="1">
      <alignment horizontal="left" vertical="center" wrapText="1"/>
    </xf>
    <xf numFmtId="4" fontId="95" fillId="2" borderId="50" xfId="0" applyNumberFormat="1" applyFont="1" applyFill="1" applyBorder="1" applyAlignment="1">
      <alignment horizontal="right" vertical="center"/>
    </xf>
    <xf numFmtId="0" fontId="17" fillId="0" borderId="31" xfId="0" applyFont="1" applyBorder="1" applyAlignment="1">
      <alignment horizontal="left" vertical="center" wrapText="1"/>
    </xf>
    <xf numFmtId="0" fontId="77" fillId="0" borderId="12" xfId="0" applyFont="1" applyBorder="1" applyAlignment="1">
      <alignment horizontal="left" vertical="center" wrapText="1"/>
    </xf>
    <xf numFmtId="4" fontId="77" fillId="0" borderId="37" xfId="0" applyNumberFormat="1" applyFont="1" applyBorder="1" applyAlignment="1">
      <alignment horizontal="right" vertical="center"/>
    </xf>
    <xf numFmtId="4" fontId="77" fillId="0" borderId="16" xfId="0" applyNumberFormat="1" applyFont="1" applyBorder="1" applyAlignment="1">
      <alignment horizontal="right" vertical="center"/>
    </xf>
    <xf numFmtId="0" fontId="60" fillId="0" borderId="37" xfId="0" applyFont="1" applyFill="1" applyBorder="1" applyAlignment="1">
      <alignment horizontal="left" vertical="center" wrapText="1"/>
    </xf>
    <xf numFmtId="0" fontId="77" fillId="0" borderId="40" xfId="0" applyFont="1" applyFill="1" applyBorder="1" applyAlignment="1">
      <alignment horizontal="left" vertical="center" wrapText="1"/>
    </xf>
    <xf numFmtId="0" fontId="94" fillId="0" borderId="50" xfId="0" applyFont="1" applyBorder="1" applyAlignment="1">
      <alignment horizontal="left" vertical="center" wrapText="1"/>
    </xf>
    <xf numFmtId="0" fontId="94" fillId="0" borderId="15" xfId="0" applyFont="1" applyBorder="1" applyAlignment="1">
      <alignment horizontal="left" vertical="center" wrapText="1"/>
    </xf>
    <xf numFmtId="0" fontId="48" fillId="2" borderId="20" xfId="0" applyFont="1" applyFill="1" applyBorder="1" applyAlignment="1">
      <alignment horizontal="left" vertical="center" wrapText="1"/>
    </xf>
    <xf numFmtId="0" fontId="48" fillId="2" borderId="4" xfId="0" applyFont="1" applyFill="1" applyBorder="1" applyAlignment="1">
      <alignment horizontal="left" vertical="center" wrapText="1"/>
    </xf>
    <xf numFmtId="0" fontId="94" fillId="0" borderId="50" xfId="0" applyFont="1" applyBorder="1" applyAlignment="1">
      <alignment vertical="center" wrapText="1"/>
    </xf>
    <xf numFmtId="0" fontId="94" fillId="0" borderId="15" xfId="0" applyFont="1" applyBorder="1" applyAlignment="1">
      <alignment vertical="center" wrapText="1"/>
    </xf>
    <xf numFmtId="0" fontId="0" fillId="0" borderId="34" xfId="0" applyBorder="1" applyAlignment="1"/>
    <xf numFmtId="0" fontId="0" fillId="0" borderId="24" xfId="0" applyBorder="1" applyAlignment="1"/>
    <xf numFmtId="10" fontId="77" fillId="0" borderId="42" xfId="0" applyNumberFormat="1" applyFont="1" applyBorder="1" applyAlignment="1">
      <alignment horizontal="center" vertical="center"/>
    </xf>
    <xf numFmtId="4" fontId="77" fillId="2" borderId="33" xfId="0" applyNumberFormat="1" applyFont="1" applyFill="1" applyBorder="1" applyAlignment="1">
      <alignment vertical="center"/>
    </xf>
    <xf numFmtId="4" fontId="77" fillId="2" borderId="24" xfId="0" applyNumberFormat="1" applyFont="1" applyFill="1" applyBorder="1" applyAlignment="1">
      <alignment vertical="center"/>
    </xf>
    <xf numFmtId="0" fontId="47" fillId="0" borderId="60" xfId="0" applyFont="1" applyFill="1" applyBorder="1" applyAlignment="1">
      <alignment horizontal="left" vertical="center" wrapText="1"/>
    </xf>
    <xf numFmtId="0" fontId="55" fillId="0" borderId="20" xfId="0" applyFont="1" applyFill="1" applyBorder="1" applyAlignment="1">
      <alignment horizontal="left" vertical="center" wrapText="1"/>
    </xf>
    <xf numFmtId="4" fontId="88" fillId="0" borderId="20" xfId="0" applyNumberFormat="1" applyFont="1" applyBorder="1" applyAlignment="1">
      <alignment horizontal="right" vertical="center"/>
    </xf>
    <xf numFmtId="4" fontId="88" fillId="0" borderId="3" xfId="0" applyNumberFormat="1" applyFont="1" applyBorder="1" applyAlignment="1">
      <alignment horizontal="right" vertical="center"/>
    </xf>
    <xf numFmtId="4" fontId="88" fillId="0" borderId="4" xfId="0" applyNumberFormat="1" applyFont="1" applyBorder="1" applyAlignment="1">
      <alignment horizontal="right" vertical="center"/>
    </xf>
    <xf numFmtId="0" fontId="77" fillId="0" borderId="4" xfId="0" applyFont="1" applyBorder="1" applyAlignment="1">
      <alignment horizontal="left" vertical="center"/>
    </xf>
    <xf numFmtId="0" fontId="88" fillId="0" borderId="4" xfId="8" applyFont="1" applyBorder="1" applyAlignment="1">
      <alignment horizontal="left" vertical="center" wrapText="1"/>
    </xf>
    <xf numFmtId="0" fontId="0" fillId="0" borderId="49" xfId="0" applyBorder="1" applyAlignment="1">
      <alignment horizontal="right" vertical="center"/>
    </xf>
    <xf numFmtId="0" fontId="0" fillId="0" borderId="40" xfId="0" applyBorder="1" applyAlignment="1">
      <alignment horizontal="right" vertical="center"/>
    </xf>
    <xf numFmtId="0" fontId="10" fillId="0" borderId="21" xfId="0" applyFont="1" applyFill="1" applyBorder="1" applyAlignment="1">
      <alignment horizontal="left" vertical="center" wrapText="1"/>
    </xf>
    <xf numFmtId="0" fontId="19" fillId="0" borderId="50"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88" fillId="0" borderId="20" xfId="5" applyFont="1" applyBorder="1" applyAlignment="1">
      <alignment horizontal="left" vertical="center" wrapText="1"/>
    </xf>
    <xf numFmtId="0" fontId="88" fillId="0" borderId="3" xfId="5" applyFont="1" applyBorder="1" applyAlignment="1">
      <alignment horizontal="left" vertical="center" wrapText="1"/>
    </xf>
    <xf numFmtId="0" fontId="88" fillId="0" borderId="4" xfId="5" applyFont="1" applyBorder="1" applyAlignment="1">
      <alignment horizontal="left" vertical="center" wrapText="1"/>
    </xf>
    <xf numFmtId="0" fontId="19" fillId="0" borderId="20"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4" fontId="88" fillId="0" borderId="4" xfId="0" applyNumberFormat="1" applyFont="1" applyFill="1" applyBorder="1" applyAlignment="1">
      <alignment horizontal="right" vertical="center"/>
    </xf>
    <xf numFmtId="4" fontId="94" fillId="0" borderId="20" xfId="0" applyNumberFormat="1" applyFont="1" applyFill="1" applyBorder="1" applyAlignment="1">
      <alignment horizontal="left" vertical="center"/>
    </xf>
    <xf numFmtId="4" fontId="94" fillId="0" borderId="3" xfId="0" applyNumberFormat="1" applyFont="1" applyFill="1" applyBorder="1" applyAlignment="1">
      <alignment horizontal="left" vertical="center"/>
    </xf>
    <xf numFmtId="4" fontId="94" fillId="0" borderId="4" xfId="0" applyNumberFormat="1" applyFont="1" applyFill="1" applyBorder="1" applyAlignment="1">
      <alignment horizontal="left" vertical="center"/>
    </xf>
    <xf numFmtId="0" fontId="19" fillId="0" borderId="20" xfId="5" applyFont="1" applyFill="1" applyBorder="1" applyAlignment="1">
      <alignment horizontal="left" vertical="center" wrapText="1"/>
    </xf>
    <xf numFmtId="0" fontId="19" fillId="0" borderId="4" xfId="5" applyFont="1" applyFill="1" applyBorder="1" applyAlignment="1">
      <alignment horizontal="left" vertical="center" wrapText="1"/>
    </xf>
    <xf numFmtId="4" fontId="94" fillId="0" borderId="20" xfId="0" applyNumberFormat="1" applyFont="1" applyFill="1" applyBorder="1" applyAlignment="1">
      <alignment horizontal="left" vertical="center" wrapText="1"/>
    </xf>
    <xf numFmtId="4" fontId="94" fillId="0" borderId="3" xfId="0" applyNumberFormat="1" applyFont="1" applyFill="1" applyBorder="1" applyAlignment="1">
      <alignment horizontal="left" vertical="center" wrapText="1"/>
    </xf>
    <xf numFmtId="4" fontId="94" fillId="0" borderId="4" xfId="0" applyNumberFormat="1" applyFont="1" applyFill="1" applyBorder="1" applyAlignment="1">
      <alignment horizontal="left" vertical="center" wrapText="1"/>
    </xf>
    <xf numFmtId="0" fontId="19" fillId="0" borderId="50" xfId="5" applyFont="1" applyFill="1" applyBorder="1" applyAlignment="1">
      <alignment horizontal="center" vertical="center" wrapText="1"/>
    </xf>
    <xf numFmtId="0" fontId="19" fillId="0" borderId="49" xfId="5" applyFont="1" applyFill="1" applyBorder="1" applyAlignment="1">
      <alignment horizontal="center" vertical="center" wrapText="1"/>
    </xf>
    <xf numFmtId="0" fontId="19" fillId="0" borderId="15" xfId="5" applyFont="1" applyFill="1" applyBorder="1" applyAlignment="1">
      <alignment horizontal="center" vertical="center" wrapText="1"/>
    </xf>
    <xf numFmtId="0" fontId="19" fillId="0" borderId="3" xfId="5" applyFont="1" applyFill="1" applyBorder="1" applyAlignment="1">
      <alignment horizontal="left" vertical="center" wrapText="1"/>
    </xf>
    <xf numFmtId="0" fontId="19" fillId="0" borderId="20"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4" fontId="19" fillId="0" borderId="20" xfId="0" applyNumberFormat="1" applyFont="1" applyFill="1" applyBorder="1" applyAlignment="1">
      <alignment horizontal="right" vertical="center" wrapText="1"/>
    </xf>
    <xf numFmtId="4" fontId="19" fillId="0" borderId="3" xfId="0" applyNumberFormat="1" applyFont="1" applyFill="1" applyBorder="1" applyAlignment="1">
      <alignment horizontal="right" vertical="center" wrapText="1"/>
    </xf>
    <xf numFmtId="4" fontId="19" fillId="0" borderId="4" xfId="0" applyNumberFormat="1" applyFont="1" applyFill="1" applyBorder="1" applyAlignment="1">
      <alignment horizontal="right" vertical="center" wrapText="1"/>
    </xf>
    <xf numFmtId="0" fontId="19" fillId="0" borderId="50"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86" fillId="5" borderId="47" xfId="0" applyFont="1" applyFill="1" applyBorder="1" applyAlignment="1">
      <alignment horizontal="center" vertical="center" textRotation="90" wrapText="1"/>
    </xf>
    <xf numFmtId="0" fontId="86" fillId="5" borderId="15" xfId="0" applyFont="1" applyFill="1" applyBorder="1" applyAlignment="1">
      <alignment horizontal="center" vertical="center" textRotation="90" wrapText="1"/>
    </xf>
    <xf numFmtId="0" fontId="15" fillId="0" borderId="20" xfId="5" applyFont="1" applyFill="1" applyBorder="1" applyAlignment="1">
      <alignment horizontal="left" vertical="center" wrapText="1"/>
    </xf>
    <xf numFmtId="0" fontId="86" fillId="5" borderId="21" xfId="0" applyFont="1" applyFill="1" applyBorder="1" applyAlignment="1">
      <alignment horizontal="left" vertical="center" wrapText="1"/>
    </xf>
    <xf numFmtId="0" fontId="86" fillId="5" borderId="4" xfId="0" applyFont="1" applyFill="1" applyBorder="1" applyAlignment="1">
      <alignment horizontal="left" vertical="center" wrapText="1"/>
    </xf>
    <xf numFmtId="0" fontId="19" fillId="0" borderId="21"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21" xfId="0" applyFont="1" applyFill="1" applyBorder="1" applyAlignment="1">
      <alignment horizontal="left" vertical="center" wrapText="1"/>
    </xf>
    <xf numFmtId="4" fontId="19" fillId="0" borderId="21" xfId="0" applyNumberFormat="1" applyFont="1" applyBorder="1" applyAlignment="1">
      <alignment horizontal="right" vertical="center"/>
    </xf>
    <xf numFmtId="4" fontId="19" fillId="0" borderId="3" xfId="0" applyNumberFormat="1" applyFont="1" applyBorder="1" applyAlignment="1">
      <alignment horizontal="right" vertical="center"/>
    </xf>
    <xf numFmtId="4" fontId="19" fillId="0" borderId="4" xfId="0" applyNumberFormat="1" applyFont="1" applyBorder="1" applyAlignment="1">
      <alignment horizontal="right" vertical="center"/>
    </xf>
    <xf numFmtId="0" fontId="19" fillId="0" borderId="47" xfId="0" applyFont="1" applyFill="1" applyBorder="1" applyAlignment="1">
      <alignment horizontal="center" vertical="center"/>
    </xf>
    <xf numFmtId="4" fontId="19" fillId="0" borderId="20" xfId="0" applyNumberFormat="1" applyFont="1" applyBorder="1" applyAlignment="1">
      <alignment horizontal="right" vertical="center"/>
    </xf>
    <xf numFmtId="0" fontId="19" fillId="0" borderId="20" xfId="0" applyFont="1" applyFill="1" applyBorder="1" applyAlignment="1">
      <alignment horizontal="left" vertical="center"/>
    </xf>
    <xf numFmtId="4" fontId="94" fillId="0" borderId="21" xfId="0" applyNumberFormat="1" applyFont="1" applyBorder="1" applyAlignment="1">
      <alignment horizontal="left" vertical="center"/>
    </xf>
    <xf numFmtId="4" fontId="94" fillId="0" borderId="3" xfId="0" applyNumberFormat="1" applyFont="1" applyBorder="1" applyAlignment="1">
      <alignment horizontal="left" vertical="center"/>
    </xf>
    <xf numFmtId="4" fontId="94" fillId="0" borderId="4" xfId="0" applyNumberFormat="1" applyFont="1" applyBorder="1" applyAlignment="1">
      <alignment horizontal="left" vertical="center"/>
    </xf>
    <xf numFmtId="0" fontId="111" fillId="5" borderId="21" xfId="0" applyFont="1" applyFill="1" applyBorder="1" applyAlignment="1">
      <alignment horizontal="left" vertical="center" wrapText="1"/>
    </xf>
    <xf numFmtId="0" fontId="111" fillId="5" borderId="4" xfId="0" applyFont="1" applyFill="1" applyBorder="1" applyAlignment="1">
      <alignment horizontal="left" vertical="center" wrapText="1"/>
    </xf>
    <xf numFmtId="0" fontId="19" fillId="0" borderId="21" xfId="0" applyFont="1" applyBorder="1" applyAlignment="1">
      <alignment horizontal="left" vertical="center"/>
    </xf>
    <xf numFmtId="0" fontId="2" fillId="0" borderId="20" xfId="0" applyFont="1" applyFill="1" applyBorder="1" applyAlignment="1">
      <alignment horizontal="left" vertical="center" wrapText="1"/>
    </xf>
    <xf numFmtId="0" fontId="19" fillId="0" borderId="20" xfId="5" applyFont="1" applyBorder="1" applyAlignment="1">
      <alignment horizontal="left" vertical="center" wrapText="1"/>
    </xf>
    <xf numFmtId="0" fontId="19" fillId="0" borderId="3" xfId="5" applyFont="1" applyBorder="1" applyAlignment="1">
      <alignment horizontal="left" vertical="center" wrapText="1"/>
    </xf>
    <xf numFmtId="0" fontId="19" fillId="0" borderId="4" xfId="5" applyFont="1" applyBorder="1" applyAlignment="1">
      <alignment horizontal="left" vertical="center" wrapText="1"/>
    </xf>
    <xf numFmtId="0" fontId="15" fillId="0" borderId="20" xfId="0" applyFont="1" applyFill="1" applyBorder="1" applyAlignment="1">
      <alignment horizontal="left" vertical="center"/>
    </xf>
    <xf numFmtId="0" fontId="10" fillId="0" borderId="20" xfId="5" applyFont="1" applyFill="1" applyBorder="1" applyAlignment="1">
      <alignment horizontal="left" vertical="center" wrapText="1"/>
    </xf>
    <xf numFmtId="0" fontId="94" fillId="0" borderId="4" xfId="0" applyFont="1" applyBorder="1" applyAlignment="1">
      <alignment horizontal="left" vertical="center" wrapText="1"/>
    </xf>
    <xf numFmtId="0" fontId="88" fillId="0" borderId="20" xfId="0" applyFont="1" applyFill="1" applyBorder="1" applyAlignment="1">
      <alignment horizontal="left" vertical="center" wrapText="1"/>
    </xf>
    <xf numFmtId="0" fontId="88" fillId="0" borderId="3" xfId="0" applyFont="1" applyFill="1" applyBorder="1" applyAlignment="1">
      <alignment horizontal="left" vertical="center" wrapText="1"/>
    </xf>
    <xf numFmtId="0" fontId="88" fillId="0" borderId="4" xfId="0" applyFont="1" applyFill="1" applyBorder="1" applyAlignment="1">
      <alignment horizontal="left" vertical="center" wrapText="1"/>
    </xf>
    <xf numFmtId="0" fontId="11" fillId="0" borderId="20" xfId="5" applyFont="1" applyFill="1" applyBorder="1" applyAlignment="1">
      <alignment horizontal="left" vertical="center" wrapText="1"/>
    </xf>
    <xf numFmtId="4" fontId="94" fillId="0" borderId="20" xfId="0" applyNumberFormat="1" applyFont="1" applyBorder="1" applyAlignment="1">
      <alignment horizontal="left" vertical="center"/>
    </xf>
    <xf numFmtId="10" fontId="19" fillId="0" borderId="33" xfId="0" applyNumberFormat="1" applyFont="1" applyFill="1" applyBorder="1" applyAlignment="1">
      <alignment horizontal="center" vertical="center"/>
    </xf>
    <xf numFmtId="10" fontId="19" fillId="0" borderId="24" xfId="0" applyNumberFormat="1" applyFont="1" applyFill="1" applyBorder="1" applyAlignment="1">
      <alignment horizontal="center" vertical="center"/>
    </xf>
    <xf numFmtId="0" fontId="19" fillId="0" borderId="37"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16" xfId="0" applyFont="1" applyFill="1" applyBorder="1" applyAlignment="1">
      <alignment horizontal="left" vertical="center" wrapText="1"/>
    </xf>
    <xf numFmtId="4" fontId="19" fillId="0" borderId="33" xfId="0" applyNumberFormat="1" applyFont="1" applyFill="1" applyBorder="1" applyAlignment="1">
      <alignment horizontal="right" vertical="center"/>
    </xf>
    <xf numFmtId="4" fontId="19" fillId="0" borderId="34" xfId="0" applyNumberFormat="1" applyFont="1" applyFill="1" applyBorder="1" applyAlignment="1">
      <alignment horizontal="right" vertical="center"/>
    </xf>
    <xf numFmtId="4" fontId="19" fillId="0" borderId="24" xfId="0" applyNumberFormat="1" applyFont="1" applyFill="1" applyBorder="1" applyAlignment="1">
      <alignment horizontal="right" vertical="center"/>
    </xf>
    <xf numFmtId="4" fontId="94" fillId="0" borderId="50" xfId="0" applyNumberFormat="1" applyFont="1" applyFill="1" applyBorder="1" applyAlignment="1">
      <alignment horizontal="right" vertical="center" wrapText="1"/>
    </xf>
    <xf numFmtId="4" fontId="94" fillId="0" borderId="49" xfId="0" applyNumberFormat="1" applyFont="1" applyFill="1" applyBorder="1" applyAlignment="1">
      <alignment horizontal="right" vertical="center" wrapText="1"/>
    </xf>
    <xf numFmtId="4" fontId="94" fillId="0" borderId="15" xfId="0" applyNumberFormat="1" applyFont="1" applyFill="1" applyBorder="1" applyAlignment="1">
      <alignment horizontal="right" vertical="center" wrapText="1"/>
    </xf>
    <xf numFmtId="4" fontId="95" fillId="0" borderId="37" xfId="0" applyNumberFormat="1" applyFont="1" applyFill="1" applyBorder="1" applyAlignment="1">
      <alignment horizontal="right" vertical="center" wrapText="1"/>
    </xf>
    <xf numFmtId="4" fontId="95" fillId="0" borderId="40" xfId="0" applyNumberFormat="1" applyFont="1" applyFill="1" applyBorder="1" applyAlignment="1">
      <alignment horizontal="right" vertical="center" wrapText="1"/>
    </xf>
    <xf numFmtId="4" fontId="95" fillId="0" borderId="16" xfId="0" applyNumberFormat="1" applyFont="1" applyFill="1" applyBorder="1" applyAlignment="1">
      <alignment horizontal="right" vertical="center" wrapText="1"/>
    </xf>
    <xf numFmtId="10" fontId="19" fillId="0" borderId="34" xfId="0" applyNumberFormat="1" applyFont="1" applyFill="1" applyBorder="1" applyAlignment="1">
      <alignment horizontal="center" vertical="center"/>
    </xf>
    <xf numFmtId="0" fontId="86" fillId="5" borderId="60" xfId="0" applyFont="1" applyFill="1" applyBorder="1" applyAlignment="1">
      <alignment horizontal="left" vertical="center" wrapText="1"/>
    </xf>
    <xf numFmtId="0" fontId="86" fillId="5" borderId="16" xfId="0" applyFont="1" applyFill="1" applyBorder="1" applyAlignment="1">
      <alignment horizontal="left" vertical="center" wrapText="1"/>
    </xf>
    <xf numFmtId="0" fontId="84" fillId="5" borderId="30" xfId="0" applyFont="1" applyFill="1" applyBorder="1" applyAlignment="1">
      <alignment horizontal="center" vertical="center" wrapText="1"/>
    </xf>
    <xf numFmtId="0" fontId="84" fillId="5" borderId="5" xfId="0" applyFont="1" applyFill="1" applyBorder="1" applyAlignment="1">
      <alignment horizontal="center" vertical="center" wrapText="1"/>
    </xf>
    <xf numFmtId="0" fontId="94" fillId="0" borderId="21" xfId="0" applyFont="1" applyBorder="1" applyAlignment="1">
      <alignment horizontal="left" vertical="center" wrapText="1"/>
    </xf>
    <xf numFmtId="0" fontId="94" fillId="0" borderId="3" xfId="0" applyFont="1" applyBorder="1" applyAlignment="1">
      <alignment horizontal="left" vertical="center" wrapText="1"/>
    </xf>
    <xf numFmtId="10" fontId="19" fillId="0" borderId="42" xfId="0" applyNumberFormat="1" applyFont="1" applyFill="1" applyBorder="1" applyAlignment="1">
      <alignment horizontal="center" vertical="center"/>
    </xf>
    <xf numFmtId="4" fontId="19" fillId="0" borderId="33" xfId="0" applyNumberFormat="1" applyFont="1" applyFill="1" applyBorder="1" applyAlignment="1">
      <alignment horizontal="center" vertical="center"/>
    </xf>
    <xf numFmtId="4" fontId="19" fillId="0" borderId="24" xfId="0" applyNumberFormat="1" applyFont="1" applyFill="1" applyBorder="1" applyAlignment="1">
      <alignment horizontal="center" vertical="center"/>
    </xf>
    <xf numFmtId="0" fontId="2" fillId="0" borderId="3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86" fillId="5" borderId="65" xfId="0" applyFont="1" applyFill="1" applyBorder="1" applyAlignment="1">
      <alignment horizontal="left" vertical="center" wrapText="1"/>
    </xf>
    <xf numFmtId="0" fontId="86" fillId="5" borderId="6" xfId="0" applyFont="1" applyFill="1" applyBorder="1" applyAlignment="1">
      <alignment horizontal="left" vertical="center" wrapText="1"/>
    </xf>
    <xf numFmtId="0" fontId="84" fillId="5" borderId="44" xfId="0" applyFont="1" applyFill="1" applyBorder="1" applyAlignment="1">
      <alignment horizontal="center" vertical="center" wrapText="1"/>
    </xf>
    <xf numFmtId="4" fontId="19" fillId="0" borderId="37" xfId="0" applyNumberFormat="1" applyFont="1" applyFill="1" applyBorder="1" applyAlignment="1">
      <alignment horizontal="center" vertical="center"/>
    </xf>
    <xf numFmtId="4" fontId="19" fillId="0" borderId="16" xfId="0" applyNumberFormat="1" applyFont="1" applyFill="1" applyBorder="1" applyAlignment="1">
      <alignment horizontal="center" vertical="center"/>
    </xf>
    <xf numFmtId="0" fontId="19"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4" fillId="2" borderId="35" xfId="0" applyFont="1" applyFill="1" applyBorder="1" applyAlignment="1">
      <alignment horizontal="left" vertical="center" wrapText="1"/>
    </xf>
    <xf numFmtId="0" fontId="84" fillId="2" borderId="63" xfId="0" applyFont="1" applyFill="1" applyBorder="1" applyAlignment="1">
      <alignment horizontal="left" vertical="center" wrapText="1"/>
    </xf>
    <xf numFmtId="0" fontId="84" fillId="19" borderId="0" xfId="0" applyFont="1" applyFill="1" applyBorder="1" applyAlignment="1">
      <alignment horizontal="left"/>
    </xf>
    <xf numFmtId="10" fontId="94" fillId="0" borderId="33" xfId="0" applyNumberFormat="1" applyFont="1" applyFill="1" applyBorder="1" applyAlignment="1">
      <alignment horizontal="center" vertical="center"/>
    </xf>
    <xf numFmtId="10" fontId="94" fillId="0" borderId="24" xfId="0" applyNumberFormat="1" applyFont="1" applyFill="1" applyBorder="1" applyAlignment="1">
      <alignment horizontal="center" vertical="center"/>
    </xf>
    <xf numFmtId="0" fontId="98" fillId="0" borderId="44" xfId="0" applyFont="1" applyFill="1" applyBorder="1" applyAlignment="1">
      <alignment horizontal="left" vertical="center" wrapText="1"/>
    </xf>
    <xf numFmtId="0" fontId="19" fillId="0" borderId="21" xfId="5" applyFont="1" applyBorder="1" applyAlignment="1">
      <alignment horizontal="left" vertical="center" wrapText="1"/>
    </xf>
    <xf numFmtId="4" fontId="130" fillId="5" borderId="21" xfId="0" applyNumberFormat="1" applyFont="1" applyFill="1" applyBorder="1" applyAlignment="1">
      <alignment horizontal="center" vertical="center" wrapText="1"/>
    </xf>
    <xf numFmtId="4" fontId="130" fillId="5" borderId="4" xfId="0" applyNumberFormat="1" applyFont="1" applyFill="1" applyBorder="1" applyAlignment="1">
      <alignment horizontal="center" vertical="center" wrapText="1"/>
    </xf>
    <xf numFmtId="4" fontId="86" fillId="5" borderId="21" xfId="0" applyNumberFormat="1" applyFont="1" applyFill="1" applyBorder="1" applyAlignment="1">
      <alignment horizontal="left" vertical="center" wrapText="1"/>
    </xf>
    <xf numFmtId="4" fontId="86" fillId="5" borderId="4" xfId="0" applyNumberFormat="1" applyFont="1" applyFill="1" applyBorder="1" applyAlignment="1">
      <alignment horizontal="left" vertical="center" wrapText="1"/>
    </xf>
    <xf numFmtId="0" fontId="84" fillId="0" borderId="75" xfId="0" applyFont="1" applyFill="1" applyBorder="1" applyAlignment="1">
      <alignment horizontal="left" wrapText="1"/>
    </xf>
    <xf numFmtId="0" fontId="84" fillId="0" borderId="74"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70" zoomScaleNormal="70" workbookViewId="0">
      <selection activeCell="Q5" sqref="Q5"/>
    </sheetView>
  </sheetViews>
  <sheetFormatPr defaultRowHeight="15" x14ac:dyDescent="0.25"/>
  <cols>
    <col min="1" max="1" width="14.28515625" customWidth="1"/>
    <col min="2" max="2" width="17.140625" customWidth="1"/>
    <col min="3" max="4" width="18.7109375" customWidth="1"/>
    <col min="5" max="5" width="19.5703125" customWidth="1"/>
    <col min="6" max="7" width="16.7109375" customWidth="1"/>
    <col min="8" max="8" width="19.5703125" customWidth="1"/>
    <col min="9" max="9" width="16.7109375" customWidth="1"/>
  </cols>
  <sheetData>
    <row r="1" spans="1:10" ht="57" customHeight="1" x14ac:dyDescent="0.4">
      <c r="A1" s="749" t="s">
        <v>703</v>
      </c>
      <c r="B1" s="749"/>
      <c r="C1" s="749"/>
      <c r="D1" s="749"/>
      <c r="E1" s="749"/>
      <c r="F1" s="749"/>
      <c r="G1" s="749"/>
      <c r="H1" s="749"/>
      <c r="I1" s="749"/>
    </row>
    <row r="2" spans="1:10" ht="9" customHeight="1" x14ac:dyDescent="0.25"/>
    <row r="3" spans="1:10" ht="15.75" x14ac:dyDescent="0.25">
      <c r="A3" s="301" t="s">
        <v>224</v>
      </c>
      <c r="B3" s="301"/>
      <c r="C3" s="301"/>
      <c r="D3" s="301"/>
      <c r="E3" s="301"/>
      <c r="F3" s="301"/>
      <c r="G3" s="301"/>
      <c r="H3" s="301"/>
      <c r="I3" s="307" t="s">
        <v>195</v>
      </c>
    </row>
    <row r="4" spans="1:10" ht="32.25" customHeight="1" x14ac:dyDescent="0.25">
      <c r="A4" s="773" t="s">
        <v>193</v>
      </c>
      <c r="B4" s="774"/>
      <c r="C4" s="761" t="s">
        <v>255</v>
      </c>
      <c r="D4" s="775" t="s">
        <v>311</v>
      </c>
      <c r="E4" s="768" t="s">
        <v>309</v>
      </c>
      <c r="F4" s="769"/>
      <c r="G4" s="770"/>
      <c r="H4" s="755" t="s">
        <v>310</v>
      </c>
      <c r="I4" s="755" t="s">
        <v>256</v>
      </c>
    </row>
    <row r="5" spans="1:10" ht="94.5" customHeight="1" x14ac:dyDescent="0.25">
      <c r="A5" s="773"/>
      <c r="B5" s="774"/>
      <c r="C5" s="761"/>
      <c r="D5" s="775"/>
      <c r="E5" s="375" t="s">
        <v>212</v>
      </c>
      <c r="F5" s="259" t="s">
        <v>254</v>
      </c>
      <c r="G5" s="260" t="s">
        <v>325</v>
      </c>
      <c r="H5" s="755"/>
      <c r="I5" s="755"/>
      <c r="J5" s="235"/>
    </row>
    <row r="6" spans="1:10" ht="31.5" x14ac:dyDescent="0.25">
      <c r="A6" s="753" t="s">
        <v>196</v>
      </c>
      <c r="B6" s="754"/>
      <c r="C6" s="261" t="s">
        <v>197</v>
      </c>
      <c r="D6" s="373" t="s">
        <v>198</v>
      </c>
      <c r="E6" s="376" t="s">
        <v>349</v>
      </c>
      <c r="F6" s="262" t="s">
        <v>200</v>
      </c>
      <c r="G6" s="263" t="s">
        <v>201</v>
      </c>
      <c r="H6" s="264" t="s">
        <v>350</v>
      </c>
      <c r="I6" s="264" t="s">
        <v>351</v>
      </c>
    </row>
    <row r="7" spans="1:10" ht="45" customHeight="1" x14ac:dyDescent="0.25">
      <c r="A7" s="757" t="s">
        <v>221</v>
      </c>
      <c r="B7" s="758"/>
      <c r="C7" s="265">
        <f>'Projekty KK'!G110</f>
        <v>1436802032.23</v>
      </c>
      <c r="D7" s="266">
        <f>'Projekty KK'!L110</f>
        <v>254572102.98999995</v>
      </c>
      <c r="E7" s="267">
        <f>'Projekty KK'!M110</f>
        <v>146024356.58999997</v>
      </c>
      <c r="F7" s="268">
        <f>'Projekty KK'!N110</f>
        <v>118365469.20000002</v>
      </c>
      <c r="G7" s="269">
        <f>'Projekty KK'!O110</f>
        <v>27658887.389999993</v>
      </c>
      <c r="H7" s="270">
        <f>E7/D7</f>
        <v>0.57360706406913753</v>
      </c>
      <c r="I7" s="270">
        <f>E7/C7</f>
        <v>0.10163150755247868</v>
      </c>
    </row>
    <row r="8" spans="1:10" ht="45" customHeight="1" x14ac:dyDescent="0.25">
      <c r="A8" s="759" t="s">
        <v>222</v>
      </c>
      <c r="B8" s="760"/>
      <c r="C8" s="271">
        <f>'Projekty PO'!G67</f>
        <v>3548832947.0099998</v>
      </c>
      <c r="D8" s="272">
        <f>'Projekty PO'!L67</f>
        <v>894712980.08450007</v>
      </c>
      <c r="E8" s="273">
        <f>'Projekty PO'!M67</f>
        <v>314227325.27399987</v>
      </c>
      <c r="F8" s="274">
        <f>'Projekty PO'!N67</f>
        <v>334234235.98399991</v>
      </c>
      <c r="G8" s="275">
        <f>'Projekty PO'!O67</f>
        <v>13153482.684999999</v>
      </c>
      <c r="H8" s="276">
        <f>E8/D8</f>
        <v>0.35120461228172084</v>
      </c>
      <c r="I8" s="277">
        <f>E8/C8</f>
        <v>8.8543848066656952E-2</v>
      </c>
    </row>
    <row r="9" spans="1:10" ht="49.5" customHeight="1" thickBot="1" x14ac:dyDescent="0.3">
      <c r="A9" s="762" t="s">
        <v>295</v>
      </c>
      <c r="B9" s="763"/>
      <c r="C9" s="278" t="s">
        <v>211</v>
      </c>
      <c r="D9" s="279">
        <v>2065000000</v>
      </c>
      <c r="E9" s="280">
        <v>307867530</v>
      </c>
      <c r="F9" s="281">
        <v>307867530</v>
      </c>
      <c r="G9" s="282">
        <v>0</v>
      </c>
      <c r="H9" s="283">
        <f>E9/D9</f>
        <v>0.14908839225181597</v>
      </c>
      <c r="I9" s="284" t="s">
        <v>211</v>
      </c>
    </row>
    <row r="10" spans="1:10" ht="32.25" customHeight="1" x14ac:dyDescent="0.25">
      <c r="A10" s="771" t="s">
        <v>129</v>
      </c>
      <c r="B10" s="772"/>
      <c r="C10" s="285">
        <f>SUM(C7:C9)</f>
        <v>4985634979.2399998</v>
      </c>
      <c r="D10" s="374">
        <f>SUM(D7:D9)</f>
        <v>3214285083.0745001</v>
      </c>
      <c r="E10" s="377">
        <f>SUM(E7:E9)</f>
        <v>768119211.86399984</v>
      </c>
      <c r="F10" s="286">
        <f>SUM(F7:F9)</f>
        <v>760467235.1839999</v>
      </c>
      <c r="G10" s="287">
        <f>SUM(G7:G9)</f>
        <v>40812370.074999988</v>
      </c>
      <c r="H10" s="288">
        <f>E10/D10</f>
        <v>0.23897046839706113</v>
      </c>
      <c r="I10" s="289">
        <f>E10/C10</f>
        <v>0.15406647599802631</v>
      </c>
    </row>
    <row r="11" spans="1:10" s="149" customFormat="1" x14ac:dyDescent="0.25">
      <c r="A11" s="484" t="s">
        <v>462</v>
      </c>
      <c r="B11" s="520"/>
      <c r="C11" s="520"/>
      <c r="D11" s="520"/>
      <c r="E11" s="520"/>
      <c r="F11" s="520"/>
      <c r="G11" s="176"/>
      <c r="H11" s="177"/>
      <c r="I11" s="73"/>
    </row>
    <row r="12" spans="1:10" s="149" customFormat="1" ht="48" customHeight="1" x14ac:dyDescent="0.25">
      <c r="A12" s="779" t="s">
        <v>463</v>
      </c>
      <c r="B12" s="779"/>
      <c r="C12" s="779"/>
      <c r="D12" s="779"/>
      <c r="E12" s="779"/>
      <c r="F12" s="779"/>
      <c r="G12" s="176"/>
      <c r="H12" s="177"/>
      <c r="I12" s="73"/>
    </row>
    <row r="13" spans="1:10" s="149" customFormat="1" ht="23.25" x14ac:dyDescent="0.25">
      <c r="A13" s="300" t="s">
        <v>218</v>
      </c>
      <c r="B13" s="174"/>
      <c r="C13" s="175"/>
      <c r="D13" s="175"/>
      <c r="E13" s="175"/>
      <c r="F13" s="176"/>
      <c r="G13" s="176"/>
      <c r="H13" s="177"/>
      <c r="I13" s="73"/>
    </row>
    <row r="14" spans="1:10" s="149" customFormat="1" ht="15" customHeight="1" x14ac:dyDescent="0.25">
      <c r="A14" s="174"/>
      <c r="B14" s="174"/>
      <c r="C14" s="175"/>
      <c r="D14" s="175"/>
      <c r="E14" s="175"/>
      <c r="F14" s="176"/>
      <c r="G14" s="176"/>
      <c r="H14" s="177"/>
      <c r="I14" s="73"/>
    </row>
    <row r="15" spans="1:10" s="149" customFormat="1" ht="14.25" customHeight="1" x14ac:dyDescent="0.25">
      <c r="A15" s="301" t="s">
        <v>225</v>
      </c>
      <c r="B15" s="302"/>
      <c r="C15" s="303"/>
      <c r="D15" s="303"/>
      <c r="E15" s="303"/>
      <c r="F15" s="304"/>
      <c r="G15" s="304"/>
      <c r="H15" s="305"/>
      <c r="I15" s="306" t="s">
        <v>195</v>
      </c>
    </row>
    <row r="16" spans="1:10" s="149" customFormat="1" ht="24.95" customHeight="1" x14ac:dyDescent="0.25">
      <c r="A16" s="746" t="s">
        <v>465</v>
      </c>
      <c r="B16" s="747"/>
      <c r="C16" s="747"/>
      <c r="D16" s="748"/>
      <c r="E16" s="291">
        <f>E7+E8</f>
        <v>460251681.86399984</v>
      </c>
      <c r="F16" s="764"/>
      <c r="G16" s="765"/>
      <c r="H16" s="765"/>
      <c r="I16" s="766"/>
    </row>
    <row r="17" spans="1:9" s="149" customFormat="1" ht="24.95" customHeight="1" x14ac:dyDescent="0.25">
      <c r="A17" s="290" t="s">
        <v>157</v>
      </c>
      <c r="B17" s="293" t="s">
        <v>226</v>
      </c>
      <c r="C17" s="293"/>
      <c r="D17" s="294"/>
      <c r="E17" s="295">
        <f>'Projekty KK'!N111+'Projekty PO'!N68</f>
        <v>216469982.04399991</v>
      </c>
      <c r="F17" s="518" t="s">
        <v>464</v>
      </c>
      <c r="G17" s="518"/>
      <c r="H17" s="518"/>
      <c r="I17" s="518"/>
    </row>
    <row r="18" spans="1:9" s="149" customFormat="1" ht="24.95" customHeight="1" x14ac:dyDescent="0.25">
      <c r="A18" s="292"/>
      <c r="B18" s="516" t="s">
        <v>220</v>
      </c>
      <c r="C18" s="516"/>
      <c r="D18" s="517"/>
      <c r="E18" s="296">
        <f>'Projekty KK'!N112+'Projekty PO'!N69</f>
        <v>236129723.14000005</v>
      </c>
      <c r="F18" s="776" t="s">
        <v>304</v>
      </c>
      <c r="G18" s="777"/>
      <c r="H18" s="777"/>
      <c r="I18" s="778"/>
    </row>
    <row r="19" spans="1:9" s="149" customFormat="1" ht="24.95" customHeight="1" x14ac:dyDescent="0.25">
      <c r="A19" s="292"/>
      <c r="B19" s="751" t="s">
        <v>329</v>
      </c>
      <c r="C19" s="751"/>
      <c r="D19" s="752"/>
      <c r="E19" s="297">
        <f>'Projekty KK'!O110+'Projekty PO'!O67</f>
        <v>40812370.074999988</v>
      </c>
      <c r="F19" s="745" t="s">
        <v>304</v>
      </c>
      <c r="G19" s="745"/>
      <c r="H19" s="745"/>
      <c r="I19" s="745"/>
    </row>
    <row r="20" spans="1:9" s="149" customFormat="1" ht="24.95" customHeight="1" x14ac:dyDescent="0.25">
      <c r="A20" s="746" t="s">
        <v>219</v>
      </c>
      <c r="B20" s="747"/>
      <c r="C20" s="747"/>
      <c r="D20" s="748"/>
      <c r="E20" s="291">
        <f>E9</f>
        <v>307867530</v>
      </c>
      <c r="F20" s="767" t="s">
        <v>303</v>
      </c>
      <c r="G20" s="767"/>
      <c r="H20" s="767"/>
      <c r="I20" s="767"/>
    </row>
    <row r="21" spans="1:9" s="149" customFormat="1" ht="33" customHeight="1" x14ac:dyDescent="0.25">
      <c r="A21" s="742" t="s">
        <v>316</v>
      </c>
      <c r="B21" s="743"/>
      <c r="C21" s="743"/>
      <c r="D21" s="744"/>
      <c r="E21" s="406">
        <f>E10</f>
        <v>768119211.86399984</v>
      </c>
      <c r="F21" s="745" t="s">
        <v>302</v>
      </c>
      <c r="G21" s="745"/>
      <c r="H21" s="745"/>
      <c r="I21" s="745"/>
    </row>
    <row r="22" spans="1:9" x14ac:dyDescent="0.25">
      <c r="A22" s="171"/>
      <c r="B22" s="171"/>
      <c r="C22" s="171"/>
      <c r="H22" s="167"/>
    </row>
    <row r="23" spans="1:9" ht="18.75" x14ac:dyDescent="0.3">
      <c r="A23" s="178" t="s">
        <v>223</v>
      </c>
      <c r="B23" s="1"/>
      <c r="C23" s="258"/>
      <c r="D23" s="168"/>
      <c r="E23" s="168"/>
      <c r="F23" s="168"/>
      <c r="G23" s="168"/>
      <c r="H23" s="169"/>
      <c r="I23" s="168"/>
    </row>
    <row r="24" spans="1:9" ht="116.25" customHeight="1" x14ac:dyDescent="0.25">
      <c r="A24" s="298" t="s">
        <v>197</v>
      </c>
      <c r="B24" s="756" t="s">
        <v>255</v>
      </c>
      <c r="C24" s="756"/>
      <c r="D24" s="756"/>
      <c r="E24" s="750" t="s">
        <v>314</v>
      </c>
      <c r="F24" s="750"/>
      <c r="G24" s="750"/>
      <c r="H24" s="750"/>
      <c r="I24" s="750"/>
    </row>
    <row r="25" spans="1:9" ht="66" customHeight="1" x14ac:dyDescent="0.25">
      <c r="A25" s="298" t="s">
        <v>198</v>
      </c>
      <c r="B25" s="756" t="s">
        <v>312</v>
      </c>
      <c r="C25" s="756"/>
      <c r="D25" s="756"/>
      <c r="E25" s="750" t="s">
        <v>315</v>
      </c>
      <c r="F25" s="750"/>
      <c r="G25" s="750"/>
      <c r="H25" s="750"/>
      <c r="I25" s="750"/>
    </row>
    <row r="26" spans="1:9" ht="40.5" customHeight="1" x14ac:dyDescent="0.25">
      <c r="A26" s="298" t="s">
        <v>199</v>
      </c>
      <c r="B26" s="756" t="s">
        <v>308</v>
      </c>
      <c r="C26" s="756"/>
      <c r="D26" s="756"/>
      <c r="E26" s="780" t="s">
        <v>259</v>
      </c>
      <c r="F26" s="781"/>
      <c r="G26" s="781"/>
      <c r="H26" s="781"/>
      <c r="I26" s="782"/>
    </row>
    <row r="27" spans="1:9" ht="105" customHeight="1" x14ac:dyDescent="0.25">
      <c r="A27" s="298" t="s">
        <v>200</v>
      </c>
      <c r="B27" s="756" t="s">
        <v>194</v>
      </c>
      <c r="C27" s="756"/>
      <c r="D27" s="756"/>
      <c r="E27" s="750" t="s">
        <v>301</v>
      </c>
      <c r="F27" s="750"/>
      <c r="G27" s="750"/>
      <c r="H27" s="750"/>
      <c r="I27" s="750"/>
    </row>
    <row r="28" spans="1:9" ht="72" customHeight="1" x14ac:dyDescent="0.25">
      <c r="A28" s="298" t="s">
        <v>201</v>
      </c>
      <c r="B28" s="756" t="s">
        <v>313</v>
      </c>
      <c r="C28" s="756"/>
      <c r="D28" s="756"/>
      <c r="E28" s="750" t="s">
        <v>217</v>
      </c>
      <c r="F28" s="750"/>
      <c r="G28" s="750"/>
      <c r="H28" s="750"/>
      <c r="I28" s="750"/>
    </row>
    <row r="29" spans="1:9" ht="69.75" customHeight="1" x14ac:dyDescent="0.25">
      <c r="A29" s="299" t="s">
        <v>257</v>
      </c>
      <c r="B29" s="756" t="s">
        <v>310</v>
      </c>
      <c r="C29" s="756"/>
      <c r="D29" s="756"/>
      <c r="E29" s="750" t="s">
        <v>272</v>
      </c>
      <c r="F29" s="750"/>
      <c r="G29" s="750"/>
      <c r="H29" s="750"/>
      <c r="I29" s="750"/>
    </row>
    <row r="30" spans="1:9" ht="42.75" customHeight="1" x14ac:dyDescent="0.25">
      <c r="A30" s="299" t="s">
        <v>258</v>
      </c>
      <c r="B30" s="756" t="s">
        <v>256</v>
      </c>
      <c r="C30" s="756"/>
      <c r="D30" s="756"/>
      <c r="E30" s="750" t="s">
        <v>271</v>
      </c>
      <c r="F30" s="750"/>
      <c r="G30" s="750"/>
      <c r="H30" s="750"/>
      <c r="I30" s="750"/>
    </row>
    <row r="31" spans="1:9" ht="15.75" x14ac:dyDescent="0.25">
      <c r="A31" s="170"/>
      <c r="B31" s="168"/>
      <c r="C31" s="168"/>
      <c r="D31" s="168"/>
      <c r="E31" s="168"/>
      <c r="F31" s="168"/>
      <c r="G31" s="168"/>
      <c r="H31" s="169"/>
    </row>
    <row r="32" spans="1:9" ht="15.75" x14ac:dyDescent="0.25">
      <c r="A32" s="170"/>
      <c r="B32" s="168"/>
      <c r="C32" s="168"/>
      <c r="D32" s="168"/>
      <c r="E32" s="168"/>
      <c r="F32" s="168"/>
      <c r="G32" s="168"/>
      <c r="H32" s="169"/>
    </row>
    <row r="33" spans="1:8" ht="15.75" x14ac:dyDescent="0.25">
      <c r="A33" s="168"/>
      <c r="B33" s="168"/>
      <c r="C33" s="168"/>
      <c r="D33" s="168"/>
      <c r="E33" s="168"/>
      <c r="F33" s="168"/>
      <c r="G33" s="168"/>
      <c r="H33" s="169"/>
    </row>
    <row r="34" spans="1:8" ht="15.75" x14ac:dyDescent="0.25">
      <c r="A34" s="168"/>
      <c r="B34" s="168"/>
      <c r="C34" s="168"/>
      <c r="D34" s="168"/>
      <c r="E34" s="168"/>
      <c r="F34" s="168"/>
      <c r="G34" s="168"/>
      <c r="H34" s="169"/>
    </row>
    <row r="35" spans="1:8" ht="15.75" x14ac:dyDescent="0.25">
      <c r="A35" s="168"/>
      <c r="B35" s="168"/>
      <c r="C35" s="168"/>
      <c r="D35" s="168"/>
      <c r="E35" s="168"/>
      <c r="F35" s="168"/>
      <c r="G35" s="168"/>
      <c r="H35" s="168"/>
    </row>
    <row r="36" spans="1:8" ht="15.75" x14ac:dyDescent="0.25">
      <c r="A36" s="168"/>
      <c r="B36" s="168"/>
      <c r="C36" s="168"/>
      <c r="D36" s="168"/>
      <c r="E36" s="168"/>
      <c r="F36" s="168"/>
      <c r="G36" s="168"/>
      <c r="H36" s="168"/>
    </row>
    <row r="37" spans="1:8" ht="18.75" x14ac:dyDescent="0.3">
      <c r="B37" s="166"/>
      <c r="C37" s="166"/>
    </row>
    <row r="38" spans="1:8" ht="18.75" x14ac:dyDescent="0.3">
      <c r="B38" s="166"/>
      <c r="C38" s="166"/>
    </row>
    <row r="39" spans="1:8" ht="18.75" x14ac:dyDescent="0.3">
      <c r="B39" s="166"/>
      <c r="C39" s="166"/>
    </row>
    <row r="40" spans="1:8" ht="18.75" x14ac:dyDescent="0.3">
      <c r="B40" s="166"/>
      <c r="C40" s="166"/>
    </row>
    <row r="41" spans="1:8" ht="18.75" x14ac:dyDescent="0.3">
      <c r="B41" s="166"/>
      <c r="C41" s="166"/>
    </row>
    <row r="42" spans="1:8" ht="18.75" x14ac:dyDescent="0.3">
      <c r="B42" s="166"/>
      <c r="C42" s="166"/>
    </row>
    <row r="43" spans="1:8" ht="18.75" x14ac:dyDescent="0.3">
      <c r="B43" s="166"/>
      <c r="C43" s="166"/>
    </row>
  </sheetData>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 stav k 3. 4.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1"/>
  <sheetViews>
    <sheetView zoomScale="60" zoomScaleNormal="60" workbookViewId="0">
      <selection activeCell="C5" sqref="C5:C9"/>
    </sheetView>
  </sheetViews>
  <sheetFormatPr defaultRowHeight="15" x14ac:dyDescent="0.25"/>
  <cols>
    <col min="1" max="1" width="4.7109375" customWidth="1"/>
    <col min="2" max="2" width="13.7109375" customWidth="1"/>
    <col min="3" max="3" width="35.7109375" customWidth="1"/>
    <col min="4" max="4" width="22.28515625" customWidth="1"/>
    <col min="5" max="5" width="12.85546875" customWidth="1"/>
    <col min="6" max="6" width="10.85546875" customWidth="1"/>
    <col min="7" max="8" width="17.85546875" customWidth="1"/>
    <col min="9" max="10" width="18.7109375" customWidth="1"/>
    <col min="11" max="11" width="40.7109375" customWidth="1"/>
    <col min="12" max="12" width="15.85546875" customWidth="1"/>
    <col min="13" max="15" width="15.7109375" customWidth="1"/>
    <col min="16" max="16" width="19" customWidth="1"/>
    <col min="17" max="17" width="18.5703125" customWidth="1"/>
    <col min="18" max="18" width="49.5703125" customWidth="1"/>
    <col min="19" max="19" width="0" hidden="1" customWidth="1"/>
    <col min="20" max="20" width="14.5703125" hidden="1" customWidth="1"/>
  </cols>
  <sheetData>
    <row r="1" spans="1:20" ht="28.5" x14ac:dyDescent="0.45">
      <c r="B1" s="164" t="s">
        <v>701</v>
      </c>
      <c r="C1" s="23"/>
      <c r="D1" s="23"/>
      <c r="E1" s="23"/>
      <c r="F1" s="23"/>
      <c r="G1" s="23"/>
      <c r="H1" s="23"/>
      <c r="I1" s="23"/>
      <c r="J1" s="23"/>
      <c r="K1" s="23"/>
      <c r="L1" s="23"/>
      <c r="M1" s="23"/>
      <c r="N1" s="23"/>
      <c r="O1" s="23"/>
      <c r="P1" s="23"/>
      <c r="Q1" s="23"/>
      <c r="R1" s="236" t="s">
        <v>273</v>
      </c>
    </row>
    <row r="2" spans="1:20" ht="38.25" customHeight="1" x14ac:dyDescent="0.25">
      <c r="A2" s="954" t="s">
        <v>328</v>
      </c>
      <c r="B2" s="952" t="s">
        <v>145</v>
      </c>
      <c r="C2" s="952" t="s">
        <v>135</v>
      </c>
      <c r="D2" s="953" t="s">
        <v>663</v>
      </c>
      <c r="E2" s="952" t="s">
        <v>136</v>
      </c>
      <c r="F2" s="956" t="s">
        <v>141</v>
      </c>
      <c r="G2" s="952" t="s">
        <v>208</v>
      </c>
      <c r="H2" s="953" t="s">
        <v>502</v>
      </c>
      <c r="I2" s="952" t="s">
        <v>358</v>
      </c>
      <c r="J2" s="952" t="s">
        <v>137</v>
      </c>
      <c r="K2" s="966" t="s">
        <v>209</v>
      </c>
      <c r="L2" s="965" t="s">
        <v>311</v>
      </c>
      <c r="M2" s="962" t="s">
        <v>309</v>
      </c>
      <c r="N2" s="963"/>
      <c r="O2" s="964"/>
      <c r="P2" s="960" t="s">
        <v>310</v>
      </c>
      <c r="Q2" s="958" t="s">
        <v>270</v>
      </c>
      <c r="R2" s="968" t="s">
        <v>210</v>
      </c>
      <c r="S2" s="963" t="s">
        <v>397</v>
      </c>
      <c r="T2" s="964"/>
    </row>
    <row r="3" spans="1:20" ht="90" x14ac:dyDescent="0.25">
      <c r="A3" s="955"/>
      <c r="B3" s="953"/>
      <c r="C3" s="953"/>
      <c r="D3" s="891"/>
      <c r="E3" s="953"/>
      <c r="F3" s="957"/>
      <c r="G3" s="953"/>
      <c r="H3" s="891"/>
      <c r="I3" s="953"/>
      <c r="J3" s="953"/>
      <c r="K3" s="967"/>
      <c r="L3" s="960"/>
      <c r="M3" s="231" t="s">
        <v>212</v>
      </c>
      <c r="N3" s="232" t="s">
        <v>213</v>
      </c>
      <c r="O3" s="233" t="s">
        <v>214</v>
      </c>
      <c r="P3" s="961"/>
      <c r="Q3" s="959"/>
      <c r="R3" s="969"/>
      <c r="S3" s="232" t="s">
        <v>398</v>
      </c>
      <c r="T3" s="233" t="s">
        <v>195</v>
      </c>
    </row>
    <row r="4" spans="1:20" ht="26.25" customHeight="1" thickBot="1" x14ac:dyDescent="0.3">
      <c r="A4" s="179" t="s">
        <v>260</v>
      </c>
      <c r="B4" s="179" t="s">
        <v>261</v>
      </c>
      <c r="C4" s="179" t="s">
        <v>262</v>
      </c>
      <c r="D4" s="179" t="s">
        <v>263</v>
      </c>
      <c r="E4" s="179" t="s">
        <v>264</v>
      </c>
      <c r="F4" s="179" t="s">
        <v>265</v>
      </c>
      <c r="G4" s="179" t="s">
        <v>266</v>
      </c>
      <c r="H4" s="179" t="s">
        <v>267</v>
      </c>
      <c r="I4" s="179" t="s">
        <v>268</v>
      </c>
      <c r="J4" s="179" t="s">
        <v>269</v>
      </c>
      <c r="K4" s="180" t="s">
        <v>503</v>
      </c>
      <c r="L4" s="181" t="s">
        <v>664</v>
      </c>
      <c r="M4" s="181" t="s">
        <v>665</v>
      </c>
      <c r="N4" s="182" t="s">
        <v>504</v>
      </c>
      <c r="O4" s="180" t="s">
        <v>666</v>
      </c>
      <c r="P4" s="181" t="s">
        <v>667</v>
      </c>
      <c r="Q4" s="181" t="s">
        <v>668</v>
      </c>
      <c r="R4" s="383" t="s">
        <v>669</v>
      </c>
      <c r="S4" s="182" t="s">
        <v>399</v>
      </c>
      <c r="T4" s="384" t="s">
        <v>400</v>
      </c>
    </row>
    <row r="5" spans="1:20" ht="40.5" customHeight="1" x14ac:dyDescent="0.25">
      <c r="A5" s="878">
        <v>1</v>
      </c>
      <c r="B5" s="872" t="s">
        <v>4</v>
      </c>
      <c r="C5" s="880" t="s">
        <v>327</v>
      </c>
      <c r="D5" s="999" t="s">
        <v>670</v>
      </c>
      <c r="E5" s="856" t="s">
        <v>42</v>
      </c>
      <c r="F5" s="857" t="s">
        <v>6</v>
      </c>
      <c r="G5" s="858">
        <v>7683687</v>
      </c>
      <c r="H5" s="855" t="s">
        <v>505</v>
      </c>
      <c r="I5" s="872" t="s">
        <v>163</v>
      </c>
      <c r="J5" s="866" t="s">
        <v>160</v>
      </c>
      <c r="K5" s="990" t="s">
        <v>252</v>
      </c>
      <c r="L5" s="319">
        <v>5000</v>
      </c>
      <c r="M5" s="317">
        <f t="shared" ref="M5:M81" si="0">N5+O5</f>
        <v>5000</v>
      </c>
      <c r="N5" s="257">
        <v>5000</v>
      </c>
      <c r="O5" s="320"/>
      <c r="P5" s="316">
        <f t="shared" ref="P5:P83" si="1">M5/L5</f>
        <v>1</v>
      </c>
      <c r="Q5" s="987">
        <f>(M5+M6+M8)/G5</f>
        <v>7.8328281722043081E-3</v>
      </c>
      <c r="R5" s="970" t="s">
        <v>572</v>
      </c>
      <c r="S5" s="380">
        <f>T5/L5</f>
        <v>0</v>
      </c>
      <c r="T5" s="10">
        <f>L5-M5</f>
        <v>0</v>
      </c>
    </row>
    <row r="6" spans="1:20" ht="46.5" customHeight="1" x14ac:dyDescent="0.25">
      <c r="A6" s="879"/>
      <c r="B6" s="862"/>
      <c r="C6" s="862"/>
      <c r="D6" s="791"/>
      <c r="E6" s="841"/>
      <c r="F6" s="843"/>
      <c r="G6" s="859"/>
      <c r="H6" s="798"/>
      <c r="I6" s="862"/>
      <c r="J6" s="867"/>
      <c r="K6" s="978"/>
      <c r="L6" s="988">
        <v>5518441</v>
      </c>
      <c r="M6" s="868">
        <v>55185</v>
      </c>
      <c r="N6" s="972">
        <v>55185</v>
      </c>
      <c r="O6" s="870"/>
      <c r="P6" s="786">
        <f t="shared" si="1"/>
        <v>1.0000106914253501E-2</v>
      </c>
      <c r="Q6" s="831"/>
      <c r="R6" s="971"/>
      <c r="S6" s="378">
        <f t="shared" ref="S6:S54" si="2">T6/L6</f>
        <v>0.98999989308574654</v>
      </c>
      <c r="T6" s="5">
        <f t="shared" ref="T6:T54" si="3">L6-M6</f>
        <v>5463256</v>
      </c>
    </row>
    <row r="7" spans="1:20" ht="30.75" customHeight="1" x14ac:dyDescent="0.25">
      <c r="A7" s="879"/>
      <c r="B7" s="862"/>
      <c r="C7" s="862"/>
      <c r="D7" s="791"/>
      <c r="E7" s="841"/>
      <c r="F7" s="843"/>
      <c r="G7" s="859"/>
      <c r="H7" s="798"/>
      <c r="I7" s="862"/>
      <c r="J7" s="792"/>
      <c r="K7" s="978"/>
      <c r="L7" s="989"/>
      <c r="M7" s="869"/>
      <c r="N7" s="818"/>
      <c r="O7" s="871"/>
      <c r="P7" s="814"/>
      <c r="Q7" s="831"/>
      <c r="R7" s="971"/>
      <c r="S7" s="378"/>
      <c r="T7" s="5"/>
    </row>
    <row r="8" spans="1:20" ht="66.75" customHeight="1" x14ac:dyDescent="0.25">
      <c r="A8" s="879"/>
      <c r="B8" s="862"/>
      <c r="C8" s="862"/>
      <c r="D8" s="791"/>
      <c r="E8" s="841"/>
      <c r="F8" s="843"/>
      <c r="G8" s="859"/>
      <c r="H8" s="798"/>
      <c r="I8" s="862"/>
      <c r="J8" s="837" t="s">
        <v>147</v>
      </c>
      <c r="K8" s="978"/>
      <c r="L8" s="819">
        <v>576277</v>
      </c>
      <c r="M8" s="868">
        <v>0</v>
      </c>
      <c r="N8" s="972">
        <v>0</v>
      </c>
      <c r="O8" s="975"/>
      <c r="P8" s="786">
        <f t="shared" si="1"/>
        <v>0</v>
      </c>
      <c r="Q8" s="831"/>
      <c r="R8" s="971"/>
      <c r="S8" s="378">
        <f t="shared" si="2"/>
        <v>1</v>
      </c>
      <c r="T8" s="5">
        <f t="shared" si="3"/>
        <v>576277</v>
      </c>
    </row>
    <row r="9" spans="1:20" ht="156" customHeight="1" x14ac:dyDescent="0.25">
      <c r="A9" s="785"/>
      <c r="B9" s="792"/>
      <c r="C9" s="792"/>
      <c r="D9" s="792"/>
      <c r="E9" s="792"/>
      <c r="F9" s="844"/>
      <c r="G9" s="847"/>
      <c r="H9" s="799"/>
      <c r="I9" s="792"/>
      <c r="J9" s="792"/>
      <c r="K9" s="822"/>
      <c r="L9" s="820"/>
      <c r="M9" s="869"/>
      <c r="N9" s="818"/>
      <c r="O9" s="976"/>
      <c r="P9" s="814"/>
      <c r="Q9" s="814"/>
      <c r="R9" s="813"/>
      <c r="S9" s="378"/>
      <c r="T9" s="5"/>
    </row>
    <row r="10" spans="1:20" ht="132" customHeight="1" x14ac:dyDescent="0.25">
      <c r="A10" s="876">
        <v>2</v>
      </c>
      <c r="B10" s="861" t="s">
        <v>4</v>
      </c>
      <c r="C10" s="861" t="s">
        <v>177</v>
      </c>
      <c r="D10" s="914" t="s">
        <v>671</v>
      </c>
      <c r="E10" s="840" t="s">
        <v>43</v>
      </c>
      <c r="F10" s="842" t="s">
        <v>8</v>
      </c>
      <c r="G10" s="845">
        <v>98003445.049999997</v>
      </c>
      <c r="H10" s="807" t="s">
        <v>505</v>
      </c>
      <c r="I10" s="848" t="s">
        <v>176</v>
      </c>
      <c r="J10" s="184" t="s">
        <v>139</v>
      </c>
      <c r="K10" s="977" t="s">
        <v>403</v>
      </c>
      <c r="L10" s="185">
        <v>5731781</v>
      </c>
      <c r="M10" s="185">
        <f t="shared" si="0"/>
        <v>1464072</v>
      </c>
      <c r="N10" s="189">
        <v>1464072</v>
      </c>
      <c r="O10" s="190"/>
      <c r="P10" s="183">
        <f t="shared" si="1"/>
        <v>0.25543055465657183</v>
      </c>
      <c r="Q10" s="786">
        <f>(M10+M11+M12+M13+M14)/G10</f>
        <v>1.5624328300079489E-2</v>
      </c>
      <c r="R10" s="322" t="s">
        <v>573</v>
      </c>
      <c r="S10" s="378">
        <f t="shared" si="2"/>
        <v>0.74456944534342817</v>
      </c>
      <c r="T10" s="5">
        <f t="shared" si="3"/>
        <v>4267709</v>
      </c>
    </row>
    <row r="11" spans="1:20" ht="51" x14ac:dyDescent="0.25">
      <c r="A11" s="879"/>
      <c r="B11" s="862"/>
      <c r="C11" s="862"/>
      <c r="D11" s="791"/>
      <c r="E11" s="841"/>
      <c r="F11" s="843"/>
      <c r="G11" s="846"/>
      <c r="H11" s="798"/>
      <c r="I11" s="849"/>
      <c r="J11" s="184" t="s">
        <v>153</v>
      </c>
      <c r="K11" s="978"/>
      <c r="L11" s="185">
        <v>1464072</v>
      </c>
      <c r="M11" s="185">
        <f t="shared" si="0"/>
        <v>0</v>
      </c>
      <c r="N11" s="189">
        <v>0</v>
      </c>
      <c r="O11" s="190"/>
      <c r="P11" s="183">
        <f t="shared" si="1"/>
        <v>0</v>
      </c>
      <c r="Q11" s="831"/>
      <c r="R11" s="339" t="s">
        <v>574</v>
      </c>
      <c r="S11" s="378">
        <f t="shared" si="2"/>
        <v>1</v>
      </c>
      <c r="T11" s="5">
        <f>L11-M11</f>
        <v>1464072</v>
      </c>
    </row>
    <row r="12" spans="1:20" ht="56.25" customHeight="1" x14ac:dyDescent="0.25">
      <c r="A12" s="879"/>
      <c r="B12" s="862"/>
      <c r="C12" s="862"/>
      <c r="D12" s="791"/>
      <c r="E12" s="841"/>
      <c r="F12" s="843"/>
      <c r="G12" s="846"/>
      <c r="H12" s="798"/>
      <c r="I12" s="849"/>
      <c r="J12" s="237" t="s">
        <v>159</v>
      </c>
      <c r="K12" s="811"/>
      <c r="L12" s="185">
        <v>26492</v>
      </c>
      <c r="M12" s="185">
        <f t="shared" si="0"/>
        <v>26492</v>
      </c>
      <c r="N12" s="189">
        <v>26492</v>
      </c>
      <c r="O12" s="190"/>
      <c r="P12" s="183">
        <f t="shared" si="1"/>
        <v>1</v>
      </c>
      <c r="Q12" s="831"/>
      <c r="R12" s="322" t="s">
        <v>575</v>
      </c>
      <c r="S12" s="378">
        <f t="shared" si="2"/>
        <v>0</v>
      </c>
      <c r="T12" s="5">
        <f t="shared" si="3"/>
        <v>0</v>
      </c>
    </row>
    <row r="13" spans="1:20" ht="229.5" customHeight="1" x14ac:dyDescent="0.25">
      <c r="A13" s="879"/>
      <c r="B13" s="862"/>
      <c r="C13" s="862"/>
      <c r="D13" s="791"/>
      <c r="E13" s="841"/>
      <c r="F13" s="843"/>
      <c r="G13" s="846"/>
      <c r="H13" s="798"/>
      <c r="I13" s="849"/>
      <c r="J13" s="184" t="s">
        <v>139</v>
      </c>
      <c r="K13" s="852" t="s">
        <v>231</v>
      </c>
      <c r="L13" s="185">
        <v>81346508</v>
      </c>
      <c r="M13" s="185">
        <f t="shared" si="0"/>
        <v>40674</v>
      </c>
      <c r="N13" s="189">
        <v>40674</v>
      </c>
      <c r="O13" s="187"/>
      <c r="P13" s="183">
        <f t="shared" si="1"/>
        <v>5.0000917064565325E-4</v>
      </c>
      <c r="Q13" s="831"/>
      <c r="R13" s="341" t="s">
        <v>576</v>
      </c>
      <c r="S13" s="378">
        <f t="shared" si="2"/>
        <v>0.99949999082935437</v>
      </c>
      <c r="T13" s="5">
        <f t="shared" si="3"/>
        <v>81305834</v>
      </c>
    </row>
    <row r="14" spans="1:20" ht="141" x14ac:dyDescent="0.25">
      <c r="A14" s="785"/>
      <c r="B14" s="792"/>
      <c r="C14" s="792"/>
      <c r="D14" s="792"/>
      <c r="E14" s="792"/>
      <c r="F14" s="844"/>
      <c r="G14" s="847"/>
      <c r="H14" s="799"/>
      <c r="I14" s="792"/>
      <c r="J14" s="387" t="s">
        <v>401</v>
      </c>
      <c r="K14" s="822"/>
      <c r="L14" s="386">
        <v>40674</v>
      </c>
      <c r="M14" s="386">
        <v>0</v>
      </c>
      <c r="N14" s="189">
        <v>0</v>
      </c>
      <c r="O14" s="187"/>
      <c r="P14" s="385">
        <f t="shared" si="1"/>
        <v>0</v>
      </c>
      <c r="Q14" s="788"/>
      <c r="R14" s="341" t="s">
        <v>577</v>
      </c>
      <c r="S14" s="378"/>
      <c r="T14" s="5"/>
    </row>
    <row r="15" spans="1:20" ht="45" x14ac:dyDescent="0.25">
      <c r="A15" s="876">
        <v>3</v>
      </c>
      <c r="B15" s="861" t="s">
        <v>4</v>
      </c>
      <c r="C15" s="861" t="s">
        <v>158</v>
      </c>
      <c r="D15" s="914" t="s">
        <v>672</v>
      </c>
      <c r="E15" s="840" t="s">
        <v>44</v>
      </c>
      <c r="F15" s="842" t="s">
        <v>10</v>
      </c>
      <c r="G15" s="845">
        <v>19287791.43</v>
      </c>
      <c r="H15" s="807" t="s">
        <v>506</v>
      </c>
      <c r="I15" s="848" t="s">
        <v>243</v>
      </c>
      <c r="J15" s="184" t="s">
        <v>140</v>
      </c>
      <c r="K15" s="810" t="s">
        <v>244</v>
      </c>
      <c r="L15" s="185">
        <v>2667</v>
      </c>
      <c r="M15" s="185">
        <f t="shared" si="0"/>
        <v>2667</v>
      </c>
      <c r="N15" s="189">
        <v>2667</v>
      </c>
      <c r="O15" s="187"/>
      <c r="P15" s="183">
        <f t="shared" si="1"/>
        <v>1</v>
      </c>
      <c r="Q15" s="786">
        <f>(M15+M16+M17+M18+M19+M20+M21+M22)/G15</f>
        <v>1.0153103361300708E-2</v>
      </c>
      <c r="R15" s="670" t="s">
        <v>578</v>
      </c>
      <c r="S15" s="378">
        <f t="shared" si="2"/>
        <v>0</v>
      </c>
      <c r="T15" s="5">
        <f t="shared" si="3"/>
        <v>0</v>
      </c>
    </row>
    <row r="16" spans="1:20" ht="36" customHeight="1" x14ac:dyDescent="0.25">
      <c r="A16" s="879"/>
      <c r="B16" s="862"/>
      <c r="C16" s="862"/>
      <c r="D16" s="791"/>
      <c r="E16" s="841"/>
      <c r="F16" s="843"/>
      <c r="G16" s="846"/>
      <c r="H16" s="798"/>
      <c r="I16" s="849"/>
      <c r="J16" s="184" t="s">
        <v>154</v>
      </c>
      <c r="K16" s="811"/>
      <c r="L16" s="193">
        <v>514</v>
      </c>
      <c r="M16" s="185">
        <f t="shared" si="0"/>
        <v>514</v>
      </c>
      <c r="N16" s="194">
        <v>514</v>
      </c>
      <c r="O16" s="143"/>
      <c r="P16" s="183">
        <f t="shared" si="1"/>
        <v>1</v>
      </c>
      <c r="Q16" s="831"/>
      <c r="R16" s="670" t="s">
        <v>579</v>
      </c>
      <c r="S16" s="378">
        <f t="shared" si="2"/>
        <v>0</v>
      </c>
      <c r="T16" s="5">
        <f t="shared" si="3"/>
        <v>0</v>
      </c>
    </row>
    <row r="17" spans="1:20" x14ac:dyDescent="0.25">
      <c r="A17" s="879"/>
      <c r="B17" s="862"/>
      <c r="C17" s="862"/>
      <c r="D17" s="791"/>
      <c r="E17" s="841"/>
      <c r="F17" s="843"/>
      <c r="G17" s="846"/>
      <c r="H17" s="798"/>
      <c r="I17" s="849"/>
      <c r="J17" s="860" t="s">
        <v>140</v>
      </c>
      <c r="K17" s="810" t="s">
        <v>245</v>
      </c>
      <c r="L17" s="415">
        <v>84471</v>
      </c>
      <c r="M17" s="185">
        <f t="shared" si="0"/>
        <v>25.16</v>
      </c>
      <c r="N17" s="189">
        <v>25.16</v>
      </c>
      <c r="O17" s="975"/>
      <c r="P17" s="786">
        <f>(M17+M18)/L17</f>
        <v>1.2502982088527423</v>
      </c>
      <c r="Q17" s="831"/>
      <c r="R17" s="973" t="s">
        <v>580</v>
      </c>
      <c r="S17" s="378">
        <f t="shared" si="2"/>
        <v>0.99970214629872967</v>
      </c>
      <c r="T17" s="5">
        <f t="shared" si="3"/>
        <v>84445.84</v>
      </c>
    </row>
    <row r="18" spans="1:20" ht="111" customHeight="1" x14ac:dyDescent="0.25">
      <c r="A18" s="879"/>
      <c r="B18" s="862"/>
      <c r="C18" s="862"/>
      <c r="D18" s="791"/>
      <c r="E18" s="841"/>
      <c r="F18" s="843"/>
      <c r="G18" s="846"/>
      <c r="H18" s="798"/>
      <c r="I18" s="849"/>
      <c r="J18" s="860"/>
      <c r="K18" s="811"/>
      <c r="L18" s="415">
        <v>114985.28</v>
      </c>
      <c r="M18" s="185">
        <v>105588.78</v>
      </c>
      <c r="N18" s="189">
        <v>105588.78</v>
      </c>
      <c r="O18" s="976"/>
      <c r="P18" s="788"/>
      <c r="Q18" s="831"/>
      <c r="R18" s="974"/>
      <c r="S18" s="378">
        <f t="shared" si="2"/>
        <v>8.1719155704104041E-2</v>
      </c>
      <c r="T18" s="5">
        <f t="shared" si="3"/>
        <v>9396.5</v>
      </c>
    </row>
    <row r="19" spans="1:20" ht="197.25" customHeight="1" x14ac:dyDescent="0.25">
      <c r="A19" s="879"/>
      <c r="B19" s="862"/>
      <c r="C19" s="862"/>
      <c r="D19" s="791"/>
      <c r="E19" s="841"/>
      <c r="F19" s="843"/>
      <c r="G19" s="846"/>
      <c r="H19" s="798"/>
      <c r="I19" s="849"/>
      <c r="J19" s="184" t="s">
        <v>140</v>
      </c>
      <c r="K19" s="838" t="s">
        <v>241</v>
      </c>
      <c r="L19" s="193">
        <v>253214</v>
      </c>
      <c r="M19" s="185">
        <v>63304</v>
      </c>
      <c r="N19" s="194">
        <v>63304</v>
      </c>
      <c r="O19" s="143"/>
      <c r="P19" s="183">
        <f t="shared" si="1"/>
        <v>0.2500019746143578</v>
      </c>
      <c r="Q19" s="831"/>
      <c r="R19" s="670" t="s">
        <v>581</v>
      </c>
      <c r="S19" s="378">
        <f t="shared" si="2"/>
        <v>0.7499980253856422</v>
      </c>
      <c r="T19" s="5">
        <f t="shared" si="3"/>
        <v>189910</v>
      </c>
    </row>
    <row r="20" spans="1:20" ht="102" x14ac:dyDescent="0.25">
      <c r="A20" s="879"/>
      <c r="B20" s="862"/>
      <c r="C20" s="862"/>
      <c r="D20" s="791"/>
      <c r="E20" s="841"/>
      <c r="F20" s="843"/>
      <c r="G20" s="846"/>
      <c r="H20" s="798"/>
      <c r="I20" s="849"/>
      <c r="J20" s="184" t="s">
        <v>154</v>
      </c>
      <c r="K20" s="853"/>
      <c r="L20" s="193">
        <v>246056</v>
      </c>
      <c r="M20" s="185">
        <v>10930</v>
      </c>
      <c r="N20" s="194">
        <v>10930</v>
      </c>
      <c r="O20" s="143"/>
      <c r="P20" s="183">
        <f t="shared" si="1"/>
        <v>4.4420782260948727E-2</v>
      </c>
      <c r="Q20" s="831"/>
      <c r="R20" s="670" t="s">
        <v>582</v>
      </c>
      <c r="S20" s="378">
        <f t="shared" si="2"/>
        <v>0.9555792177390513</v>
      </c>
      <c r="T20" s="5">
        <f t="shared" si="3"/>
        <v>235126</v>
      </c>
    </row>
    <row r="21" spans="1:20" ht="57" x14ac:dyDescent="0.25">
      <c r="A21" s="879"/>
      <c r="B21" s="862"/>
      <c r="C21" s="862"/>
      <c r="D21" s="791"/>
      <c r="E21" s="841"/>
      <c r="F21" s="843"/>
      <c r="G21" s="846"/>
      <c r="H21" s="798"/>
      <c r="I21" s="849"/>
      <c r="J21" s="184" t="s">
        <v>155</v>
      </c>
      <c r="K21" s="191" t="s">
        <v>242</v>
      </c>
      <c r="L21" s="193">
        <v>2796</v>
      </c>
      <c r="M21" s="185">
        <f t="shared" si="0"/>
        <v>2796</v>
      </c>
      <c r="N21" s="194">
        <v>2796</v>
      </c>
      <c r="O21" s="143"/>
      <c r="P21" s="183">
        <f t="shared" si="1"/>
        <v>1</v>
      </c>
      <c r="Q21" s="831"/>
      <c r="R21" s="670" t="s">
        <v>583</v>
      </c>
      <c r="S21" s="378">
        <f t="shared" si="2"/>
        <v>0</v>
      </c>
      <c r="T21" s="5">
        <f t="shared" si="3"/>
        <v>0</v>
      </c>
    </row>
    <row r="22" spans="1:20" ht="316.5" customHeight="1" x14ac:dyDescent="0.25">
      <c r="A22" s="879"/>
      <c r="B22" s="862"/>
      <c r="C22" s="862"/>
      <c r="D22" s="791"/>
      <c r="E22" s="841"/>
      <c r="F22" s="843"/>
      <c r="G22" s="846"/>
      <c r="H22" s="798"/>
      <c r="I22" s="849"/>
      <c r="J22" s="184" t="s">
        <v>140</v>
      </c>
      <c r="K22" s="854" t="s">
        <v>337</v>
      </c>
      <c r="L22" s="185">
        <v>2400910</v>
      </c>
      <c r="M22" s="185">
        <f t="shared" si="0"/>
        <v>10006</v>
      </c>
      <c r="N22" s="194">
        <v>10006</v>
      </c>
      <c r="O22" s="315"/>
      <c r="P22" s="183">
        <f t="shared" si="1"/>
        <v>4.1675864568017961E-3</v>
      </c>
      <c r="Q22" s="788"/>
      <c r="R22" s="322" t="s">
        <v>511</v>
      </c>
      <c r="S22" s="378">
        <f t="shared" si="2"/>
        <v>0.99583241354319818</v>
      </c>
      <c r="T22" s="5">
        <f t="shared" si="3"/>
        <v>2390904</v>
      </c>
    </row>
    <row r="23" spans="1:20" ht="282.75" customHeight="1" x14ac:dyDescent="0.25">
      <c r="A23" s="785"/>
      <c r="B23" s="792"/>
      <c r="C23" s="792"/>
      <c r="D23" s="792"/>
      <c r="E23" s="792"/>
      <c r="F23" s="844"/>
      <c r="G23" s="847"/>
      <c r="H23" s="799"/>
      <c r="I23" s="792"/>
      <c r="J23" s="470" t="s">
        <v>147</v>
      </c>
      <c r="K23" s="822"/>
      <c r="L23" s="415">
        <v>10006</v>
      </c>
      <c r="M23" s="415">
        <v>10006</v>
      </c>
      <c r="N23" s="194">
        <v>10006</v>
      </c>
      <c r="O23" s="315"/>
      <c r="P23" s="460">
        <f t="shared" si="1"/>
        <v>1</v>
      </c>
      <c r="Q23" s="461">
        <f>SUM(M23/G15)</f>
        <v>5.1877375573632491E-4</v>
      </c>
      <c r="R23" s="322" t="s">
        <v>520</v>
      </c>
      <c r="S23" s="378"/>
      <c r="T23" s="5"/>
    </row>
    <row r="24" spans="1:20" ht="51" x14ac:dyDescent="0.25">
      <c r="A24" s="876">
        <v>4</v>
      </c>
      <c r="B24" s="861" t="s">
        <v>4</v>
      </c>
      <c r="C24" s="861" t="s">
        <v>178</v>
      </c>
      <c r="D24" s="914" t="s">
        <v>672</v>
      </c>
      <c r="E24" s="840" t="s">
        <v>45</v>
      </c>
      <c r="F24" s="842" t="s">
        <v>10</v>
      </c>
      <c r="G24" s="845">
        <v>6805967.21</v>
      </c>
      <c r="H24" s="807" t="s">
        <v>506</v>
      </c>
      <c r="I24" s="848" t="s">
        <v>243</v>
      </c>
      <c r="J24" s="184" t="s">
        <v>140</v>
      </c>
      <c r="K24" s="824" t="s">
        <v>246</v>
      </c>
      <c r="L24" s="185">
        <v>5610</v>
      </c>
      <c r="M24" s="185">
        <f t="shared" si="0"/>
        <v>0</v>
      </c>
      <c r="N24" s="189">
        <v>0</v>
      </c>
      <c r="O24" s="187"/>
      <c r="P24" s="183">
        <f t="shared" si="1"/>
        <v>0</v>
      </c>
      <c r="Q24" s="786">
        <f>(M24+M25+M26+M27+M28+M29+M30+M31+M32)/G24</f>
        <v>4.5645239010782719E-3</v>
      </c>
      <c r="R24" s="670" t="s">
        <v>584</v>
      </c>
      <c r="S24" s="378">
        <f t="shared" si="2"/>
        <v>1</v>
      </c>
      <c r="T24" s="5">
        <f t="shared" si="3"/>
        <v>5610</v>
      </c>
    </row>
    <row r="25" spans="1:20" ht="51" x14ac:dyDescent="0.25">
      <c r="A25" s="879"/>
      <c r="B25" s="862"/>
      <c r="C25" s="862"/>
      <c r="D25" s="791"/>
      <c r="E25" s="841"/>
      <c r="F25" s="843"/>
      <c r="G25" s="846"/>
      <c r="H25" s="798"/>
      <c r="I25" s="849"/>
      <c r="J25" s="184" t="s">
        <v>154</v>
      </c>
      <c r="K25" s="935"/>
      <c r="L25" s="193">
        <v>1356</v>
      </c>
      <c r="M25" s="185">
        <f t="shared" si="0"/>
        <v>0</v>
      </c>
      <c r="N25" s="194">
        <v>0</v>
      </c>
      <c r="O25" s="143"/>
      <c r="P25" s="183">
        <f t="shared" si="1"/>
        <v>0</v>
      </c>
      <c r="Q25" s="831"/>
      <c r="R25" s="670" t="s">
        <v>585</v>
      </c>
      <c r="S25" s="378">
        <f t="shared" si="2"/>
        <v>1</v>
      </c>
      <c r="T25" s="5">
        <f t="shared" si="3"/>
        <v>1356</v>
      </c>
    </row>
    <row r="26" spans="1:20" ht="51" x14ac:dyDescent="0.25">
      <c r="A26" s="879"/>
      <c r="B26" s="862"/>
      <c r="C26" s="862"/>
      <c r="D26" s="791"/>
      <c r="E26" s="841"/>
      <c r="F26" s="843"/>
      <c r="G26" s="846"/>
      <c r="H26" s="798"/>
      <c r="I26" s="849"/>
      <c r="J26" s="184" t="s">
        <v>140</v>
      </c>
      <c r="K26" s="824" t="s">
        <v>246</v>
      </c>
      <c r="L26" s="193">
        <v>6317</v>
      </c>
      <c r="M26" s="185">
        <f t="shared" si="0"/>
        <v>0</v>
      </c>
      <c r="N26" s="194">
        <v>0</v>
      </c>
      <c r="O26" s="143"/>
      <c r="P26" s="183">
        <f t="shared" si="1"/>
        <v>0</v>
      </c>
      <c r="Q26" s="831"/>
      <c r="R26" s="670" t="s">
        <v>586</v>
      </c>
      <c r="S26" s="378">
        <f t="shared" si="2"/>
        <v>1</v>
      </c>
      <c r="T26" s="5">
        <f t="shared" si="3"/>
        <v>6317</v>
      </c>
    </row>
    <row r="27" spans="1:20" ht="51" x14ac:dyDescent="0.25">
      <c r="A27" s="879"/>
      <c r="B27" s="862"/>
      <c r="C27" s="862"/>
      <c r="D27" s="791"/>
      <c r="E27" s="841"/>
      <c r="F27" s="843"/>
      <c r="G27" s="846"/>
      <c r="H27" s="798"/>
      <c r="I27" s="849"/>
      <c r="J27" s="184" t="s">
        <v>154</v>
      </c>
      <c r="K27" s="935"/>
      <c r="L27" s="193">
        <v>1760</v>
      </c>
      <c r="M27" s="185">
        <f t="shared" si="0"/>
        <v>0</v>
      </c>
      <c r="N27" s="194">
        <v>0</v>
      </c>
      <c r="O27" s="143"/>
      <c r="P27" s="183">
        <f t="shared" si="1"/>
        <v>0</v>
      </c>
      <c r="Q27" s="831"/>
      <c r="R27" s="670" t="s">
        <v>587</v>
      </c>
      <c r="S27" s="378">
        <f t="shared" si="2"/>
        <v>1</v>
      </c>
      <c r="T27" s="5">
        <f t="shared" si="3"/>
        <v>1760</v>
      </c>
    </row>
    <row r="28" spans="1:20" ht="87" x14ac:dyDescent="0.25">
      <c r="A28" s="879"/>
      <c r="B28" s="862"/>
      <c r="C28" s="862"/>
      <c r="D28" s="791"/>
      <c r="E28" s="841"/>
      <c r="F28" s="843"/>
      <c r="G28" s="846"/>
      <c r="H28" s="798"/>
      <c r="I28" s="849"/>
      <c r="J28" s="184" t="s">
        <v>140</v>
      </c>
      <c r="K28" s="824" t="s">
        <v>247</v>
      </c>
      <c r="L28" s="185">
        <v>203970</v>
      </c>
      <c r="M28" s="185">
        <f t="shared" si="0"/>
        <v>1020</v>
      </c>
      <c r="N28" s="189">
        <v>1020</v>
      </c>
      <c r="O28" s="187"/>
      <c r="P28" s="183">
        <f t="shared" si="1"/>
        <v>5.0007354022650391E-3</v>
      </c>
      <c r="Q28" s="831"/>
      <c r="R28" s="670" t="s">
        <v>588</v>
      </c>
      <c r="S28" s="378">
        <f t="shared" si="2"/>
        <v>0.99499926459773491</v>
      </c>
      <c r="T28" s="5">
        <f t="shared" si="3"/>
        <v>202950</v>
      </c>
    </row>
    <row r="29" spans="1:20" ht="51" x14ac:dyDescent="0.25">
      <c r="A29" s="879"/>
      <c r="B29" s="862"/>
      <c r="C29" s="862"/>
      <c r="D29" s="791"/>
      <c r="E29" s="841"/>
      <c r="F29" s="843"/>
      <c r="G29" s="846"/>
      <c r="H29" s="798"/>
      <c r="I29" s="849"/>
      <c r="J29" s="184" t="s">
        <v>154</v>
      </c>
      <c r="K29" s="935"/>
      <c r="L29" s="193">
        <v>62628</v>
      </c>
      <c r="M29" s="185">
        <f t="shared" si="0"/>
        <v>0</v>
      </c>
      <c r="N29" s="194">
        <v>0</v>
      </c>
      <c r="O29" s="143"/>
      <c r="P29" s="183">
        <f t="shared" si="1"/>
        <v>0</v>
      </c>
      <c r="Q29" s="831"/>
      <c r="R29" s="670" t="s">
        <v>589</v>
      </c>
      <c r="S29" s="378">
        <f t="shared" si="2"/>
        <v>1</v>
      </c>
      <c r="T29" s="5">
        <f t="shared" si="3"/>
        <v>62628</v>
      </c>
    </row>
    <row r="30" spans="1:20" ht="222" x14ac:dyDescent="0.25">
      <c r="A30" s="879"/>
      <c r="B30" s="862"/>
      <c r="C30" s="862"/>
      <c r="D30" s="791"/>
      <c r="E30" s="841"/>
      <c r="F30" s="843"/>
      <c r="G30" s="846"/>
      <c r="H30" s="798"/>
      <c r="I30" s="849"/>
      <c r="J30" s="184" t="s">
        <v>146</v>
      </c>
      <c r="K30" s="852" t="s">
        <v>241</v>
      </c>
      <c r="L30" s="185">
        <v>54643</v>
      </c>
      <c r="M30" s="185">
        <v>13661</v>
      </c>
      <c r="N30" s="194">
        <v>13661</v>
      </c>
      <c r="O30" s="187"/>
      <c r="P30" s="183">
        <f t="shared" si="1"/>
        <v>0.25000457515143754</v>
      </c>
      <c r="Q30" s="831"/>
      <c r="R30" s="670" t="s">
        <v>590</v>
      </c>
      <c r="S30" s="378">
        <f t="shared" si="2"/>
        <v>0.74999542484856252</v>
      </c>
      <c r="T30" s="5">
        <f t="shared" si="3"/>
        <v>40982</v>
      </c>
    </row>
    <row r="31" spans="1:20" ht="102" x14ac:dyDescent="0.25">
      <c r="A31" s="879"/>
      <c r="B31" s="862"/>
      <c r="C31" s="862"/>
      <c r="D31" s="791"/>
      <c r="E31" s="841"/>
      <c r="F31" s="843"/>
      <c r="G31" s="846"/>
      <c r="H31" s="798"/>
      <c r="I31" s="849"/>
      <c r="J31" s="184" t="s">
        <v>154</v>
      </c>
      <c r="K31" s="853"/>
      <c r="L31" s="193">
        <v>54643</v>
      </c>
      <c r="M31" s="185">
        <v>2536</v>
      </c>
      <c r="N31" s="194">
        <v>2536</v>
      </c>
      <c r="O31" s="143"/>
      <c r="P31" s="183">
        <f t="shared" si="1"/>
        <v>4.6410336182127629E-2</v>
      </c>
      <c r="Q31" s="831"/>
      <c r="R31" s="670" t="s">
        <v>591</v>
      </c>
      <c r="S31" s="378">
        <f t="shared" si="2"/>
        <v>0.95358966381787236</v>
      </c>
      <c r="T31" s="5">
        <f t="shared" si="3"/>
        <v>52107</v>
      </c>
    </row>
    <row r="32" spans="1:20" ht="309.75" customHeight="1" x14ac:dyDescent="0.25">
      <c r="A32" s="879"/>
      <c r="B32" s="862"/>
      <c r="C32" s="862"/>
      <c r="D32" s="791"/>
      <c r="E32" s="841"/>
      <c r="F32" s="843"/>
      <c r="G32" s="846"/>
      <c r="H32" s="798"/>
      <c r="I32" s="849"/>
      <c r="J32" s="184" t="s">
        <v>146</v>
      </c>
      <c r="K32" s="824" t="s">
        <v>338</v>
      </c>
      <c r="L32" s="185">
        <v>474280.44</v>
      </c>
      <c r="M32" s="185">
        <f t="shared" si="0"/>
        <v>13849</v>
      </c>
      <c r="N32" s="194">
        <v>13849</v>
      </c>
      <c r="O32" s="315"/>
      <c r="P32" s="183">
        <f t="shared" si="1"/>
        <v>2.9200023513514493E-2</v>
      </c>
      <c r="Q32" s="788"/>
      <c r="R32" s="322" t="s">
        <v>512</v>
      </c>
      <c r="S32" s="378">
        <f t="shared" si="2"/>
        <v>0.97079997648648553</v>
      </c>
      <c r="T32" s="5">
        <f t="shared" si="3"/>
        <v>460431.44</v>
      </c>
    </row>
    <row r="33" spans="1:20" ht="298.5" customHeight="1" x14ac:dyDescent="0.25">
      <c r="A33" s="785"/>
      <c r="B33" s="792"/>
      <c r="C33" s="792"/>
      <c r="D33" s="792"/>
      <c r="E33" s="792"/>
      <c r="F33" s="844"/>
      <c r="G33" s="847"/>
      <c r="H33" s="799"/>
      <c r="I33" s="792"/>
      <c r="J33" s="471" t="s">
        <v>447</v>
      </c>
      <c r="K33" s="825"/>
      <c r="L33" s="415">
        <v>13849</v>
      </c>
      <c r="M33" s="415">
        <v>13849</v>
      </c>
      <c r="N33" s="194">
        <v>13849</v>
      </c>
      <c r="O33" s="315"/>
      <c r="P33" s="469">
        <f t="shared" si="1"/>
        <v>1</v>
      </c>
      <c r="Q33" s="543">
        <f>SUM(M33/G24)</f>
        <v>2.0348320191216438E-3</v>
      </c>
      <c r="R33" s="322" t="s">
        <v>519</v>
      </c>
      <c r="S33" s="378"/>
      <c r="T33" s="5"/>
    </row>
    <row r="34" spans="1:20" ht="45" x14ac:dyDescent="0.25">
      <c r="A34" s="876">
        <v>5</v>
      </c>
      <c r="B34" s="861" t="s">
        <v>4</v>
      </c>
      <c r="C34" s="861" t="s">
        <v>179</v>
      </c>
      <c r="D34" s="914" t="s">
        <v>672</v>
      </c>
      <c r="E34" s="840" t="s">
        <v>45</v>
      </c>
      <c r="F34" s="842" t="s">
        <v>10</v>
      </c>
      <c r="G34" s="845">
        <v>6348047.6299999999</v>
      </c>
      <c r="H34" s="807" t="s">
        <v>506</v>
      </c>
      <c r="I34" s="848" t="s">
        <v>243</v>
      </c>
      <c r="J34" s="184" t="s">
        <v>160</v>
      </c>
      <c r="K34" s="195" t="s">
        <v>247</v>
      </c>
      <c r="L34" s="193">
        <v>66</v>
      </c>
      <c r="M34" s="185">
        <f t="shared" si="0"/>
        <v>66</v>
      </c>
      <c r="N34" s="194">
        <v>66</v>
      </c>
      <c r="O34" s="143"/>
      <c r="P34" s="183">
        <f t="shared" si="1"/>
        <v>1</v>
      </c>
      <c r="Q34" s="786">
        <f>(M34+M35+M36+M37+M38)/G34</f>
        <v>9.9124587066149655E-2</v>
      </c>
      <c r="R34" s="322" t="s">
        <v>592</v>
      </c>
      <c r="S34" s="378">
        <f t="shared" si="2"/>
        <v>0</v>
      </c>
      <c r="T34" s="5">
        <f t="shared" si="3"/>
        <v>0</v>
      </c>
    </row>
    <row r="35" spans="1:20" ht="162" x14ac:dyDescent="0.25">
      <c r="A35" s="879"/>
      <c r="B35" s="862"/>
      <c r="C35" s="862"/>
      <c r="D35" s="791"/>
      <c r="E35" s="841"/>
      <c r="F35" s="843"/>
      <c r="G35" s="846"/>
      <c r="H35" s="798"/>
      <c r="I35" s="849"/>
      <c r="J35" s="184" t="s">
        <v>160</v>
      </c>
      <c r="K35" s="852" t="s">
        <v>241</v>
      </c>
      <c r="L35" s="193">
        <v>54937</v>
      </c>
      <c r="M35" s="185">
        <v>13734</v>
      </c>
      <c r="N35" s="194">
        <v>13734</v>
      </c>
      <c r="O35" s="143"/>
      <c r="P35" s="183">
        <f t="shared" si="1"/>
        <v>0.24999544933287221</v>
      </c>
      <c r="Q35" s="985"/>
      <c r="R35" s="322" t="s">
        <v>593</v>
      </c>
      <c r="S35" s="378">
        <f t="shared" si="2"/>
        <v>0.75000455066712779</v>
      </c>
      <c r="T35" s="5">
        <f t="shared" si="3"/>
        <v>41203</v>
      </c>
    </row>
    <row r="36" spans="1:20" ht="107.25" customHeight="1" x14ac:dyDescent="0.25">
      <c r="A36" s="879"/>
      <c r="B36" s="862"/>
      <c r="C36" s="862"/>
      <c r="D36" s="791"/>
      <c r="E36" s="841"/>
      <c r="F36" s="843"/>
      <c r="G36" s="846"/>
      <c r="H36" s="798"/>
      <c r="I36" s="849"/>
      <c r="J36" s="184" t="s">
        <v>154</v>
      </c>
      <c r="K36" s="853"/>
      <c r="L36" s="193">
        <v>54937</v>
      </c>
      <c r="M36" s="185">
        <v>2550</v>
      </c>
      <c r="N36" s="194">
        <v>2550</v>
      </c>
      <c r="O36" s="143"/>
      <c r="P36" s="183">
        <f t="shared" si="1"/>
        <v>4.6416804703569542E-2</v>
      </c>
      <c r="Q36" s="985"/>
      <c r="R36" s="322" t="s">
        <v>594</v>
      </c>
      <c r="S36" s="378">
        <f t="shared" si="2"/>
        <v>0.95358319529643043</v>
      </c>
      <c r="T36" s="5">
        <f t="shared" si="3"/>
        <v>52387</v>
      </c>
    </row>
    <row r="37" spans="1:20" ht="31.5" customHeight="1" x14ac:dyDescent="0.25">
      <c r="A37" s="879"/>
      <c r="B37" s="862"/>
      <c r="C37" s="862"/>
      <c r="D37" s="791"/>
      <c r="E37" s="841"/>
      <c r="F37" s="843"/>
      <c r="G37" s="846"/>
      <c r="H37" s="798"/>
      <c r="I37" s="849"/>
      <c r="J37" s="981" t="s">
        <v>439</v>
      </c>
      <c r="K37" s="824" t="s">
        <v>339</v>
      </c>
      <c r="L37" s="819">
        <v>672878.4</v>
      </c>
      <c r="M37" s="185">
        <f>SUM(N37+O37)</f>
        <v>597901.6</v>
      </c>
      <c r="N37" s="321"/>
      <c r="O37" s="217">
        <v>597901.6</v>
      </c>
      <c r="P37" s="786">
        <f>(M37+M38)/L37</f>
        <v>0.91085937667192163</v>
      </c>
      <c r="Q37" s="985"/>
      <c r="R37" s="983" t="s">
        <v>595</v>
      </c>
      <c r="S37" s="378">
        <f t="shared" si="2"/>
        <v>0.11142696808219739</v>
      </c>
      <c r="T37" s="5">
        <f t="shared" si="3"/>
        <v>74976.800000000047</v>
      </c>
    </row>
    <row r="38" spans="1:20" ht="352.5" customHeight="1" x14ac:dyDescent="0.25">
      <c r="A38" s="784"/>
      <c r="B38" s="791"/>
      <c r="C38" s="791"/>
      <c r="D38" s="791"/>
      <c r="E38" s="791"/>
      <c r="F38" s="850"/>
      <c r="G38" s="851"/>
      <c r="H38" s="798"/>
      <c r="I38" s="791"/>
      <c r="J38" s="982"/>
      <c r="K38" s="826"/>
      <c r="L38" s="820"/>
      <c r="M38" s="415">
        <f t="shared" si="0"/>
        <v>14996</v>
      </c>
      <c r="N38" s="194">
        <v>14996</v>
      </c>
      <c r="O38" s="315"/>
      <c r="P38" s="788"/>
      <c r="Q38" s="986"/>
      <c r="R38" s="984"/>
      <c r="S38" s="378"/>
      <c r="T38" s="5"/>
    </row>
    <row r="39" spans="1:20" ht="296.25" customHeight="1" x14ac:dyDescent="0.25">
      <c r="A39" s="785"/>
      <c r="B39" s="792"/>
      <c r="C39" s="792"/>
      <c r="D39" s="792"/>
      <c r="E39" s="792"/>
      <c r="F39" s="844"/>
      <c r="G39" s="847"/>
      <c r="H39" s="799"/>
      <c r="I39" s="792"/>
      <c r="J39" s="472" t="s">
        <v>147</v>
      </c>
      <c r="K39" s="822"/>
      <c r="L39" s="473">
        <v>14996</v>
      </c>
      <c r="M39" s="415">
        <v>14996</v>
      </c>
      <c r="N39" s="194">
        <v>14996</v>
      </c>
      <c r="O39" s="315"/>
      <c r="P39" s="469">
        <f>M39/L39</f>
        <v>1</v>
      </c>
      <c r="Q39" s="546">
        <f>M39/G34</f>
        <v>2.3623011158786784E-3</v>
      </c>
      <c r="R39" s="341" t="s">
        <v>518</v>
      </c>
      <c r="S39" s="378"/>
      <c r="T39" s="5"/>
    </row>
    <row r="40" spans="1:20" ht="165" customHeight="1" x14ac:dyDescent="0.25">
      <c r="A40" s="312">
        <v>6</v>
      </c>
      <c r="B40" s="196" t="s">
        <v>4</v>
      </c>
      <c r="C40" s="196" t="s">
        <v>180</v>
      </c>
      <c r="D40" s="711" t="s">
        <v>671</v>
      </c>
      <c r="E40" s="197" t="s">
        <v>46</v>
      </c>
      <c r="F40" s="198" t="s">
        <v>8</v>
      </c>
      <c r="G40" s="199">
        <v>67542348.040000007</v>
      </c>
      <c r="H40" s="558" t="s">
        <v>72</v>
      </c>
      <c r="I40" s="200" t="s">
        <v>165</v>
      </c>
      <c r="J40" s="184" t="s">
        <v>139</v>
      </c>
      <c r="K40" s="256" t="s">
        <v>232</v>
      </c>
      <c r="L40" s="185">
        <v>5787124.75</v>
      </c>
      <c r="M40" s="185">
        <f t="shared" si="0"/>
        <v>5759375</v>
      </c>
      <c r="N40" s="321">
        <v>5759375</v>
      </c>
      <c r="O40" s="187"/>
      <c r="P40" s="183">
        <f t="shared" si="1"/>
        <v>0.99520491587813098</v>
      </c>
      <c r="Q40" s="544">
        <f>M40/G40</f>
        <v>8.5270577158335928E-2</v>
      </c>
      <c r="R40" s="322" t="s">
        <v>513</v>
      </c>
      <c r="S40" s="378">
        <f t="shared" si="2"/>
        <v>4.7950841218689817E-3</v>
      </c>
      <c r="T40" s="5">
        <f t="shared" si="3"/>
        <v>27749.75</v>
      </c>
    </row>
    <row r="41" spans="1:20" ht="178.5" customHeight="1" x14ac:dyDescent="0.25">
      <c r="A41" s="312">
        <v>7</v>
      </c>
      <c r="B41" s="196" t="s">
        <v>4</v>
      </c>
      <c r="C41" s="196" t="s">
        <v>181</v>
      </c>
      <c r="D41" s="711" t="s">
        <v>671</v>
      </c>
      <c r="E41" s="197" t="s">
        <v>47</v>
      </c>
      <c r="F41" s="198" t="s">
        <v>8</v>
      </c>
      <c r="G41" s="199">
        <v>109809294.19</v>
      </c>
      <c r="H41" s="558" t="s">
        <v>72</v>
      </c>
      <c r="I41" s="200" t="s">
        <v>165</v>
      </c>
      <c r="J41" s="184" t="s">
        <v>139</v>
      </c>
      <c r="K41" s="191" t="s">
        <v>232</v>
      </c>
      <c r="L41" s="185">
        <v>4715937.32</v>
      </c>
      <c r="M41" s="185">
        <f t="shared" si="0"/>
        <v>4711313</v>
      </c>
      <c r="N41" s="321">
        <v>4711313</v>
      </c>
      <c r="O41" s="187"/>
      <c r="P41" s="183">
        <f t="shared" si="1"/>
        <v>0.9990194271708428</v>
      </c>
      <c r="Q41" s="183">
        <f>M41/G41</f>
        <v>4.2904501251489195E-2</v>
      </c>
      <c r="R41" s="322" t="s">
        <v>514</v>
      </c>
      <c r="S41" s="378">
        <f t="shared" si="2"/>
        <v>9.8057282915717334E-4</v>
      </c>
      <c r="T41" s="5">
        <f t="shared" si="3"/>
        <v>4624.320000000298</v>
      </c>
    </row>
    <row r="42" spans="1:20" x14ac:dyDescent="0.25">
      <c r="A42" s="876">
        <v>8</v>
      </c>
      <c r="B42" s="861" t="s">
        <v>4</v>
      </c>
      <c r="C42" s="861" t="s">
        <v>182</v>
      </c>
      <c r="D42" s="914" t="s">
        <v>673</v>
      </c>
      <c r="E42" s="861" t="s">
        <v>48</v>
      </c>
      <c r="F42" s="861" t="s">
        <v>16</v>
      </c>
      <c r="G42" s="886">
        <v>5213341.5599999996</v>
      </c>
      <c r="H42" s="808" t="s">
        <v>507</v>
      </c>
      <c r="I42" s="861" t="s">
        <v>250</v>
      </c>
      <c r="J42" s="837" t="s">
        <v>140</v>
      </c>
      <c r="K42" s="838" t="s">
        <v>428</v>
      </c>
      <c r="L42" s="819">
        <v>3263660</v>
      </c>
      <c r="M42" s="819">
        <f t="shared" si="0"/>
        <v>979098</v>
      </c>
      <c r="N42" s="817">
        <v>979098</v>
      </c>
      <c r="O42" s="975">
        <v>0</v>
      </c>
      <c r="P42" s="786">
        <f t="shared" si="1"/>
        <v>0.3</v>
      </c>
      <c r="Q42" s="786">
        <f>(M42+M45)/G42</f>
        <v>0.1941361386649679</v>
      </c>
      <c r="R42" s="834" t="s">
        <v>515</v>
      </c>
      <c r="S42" s="378">
        <f t="shared" si="2"/>
        <v>0.7</v>
      </c>
      <c r="T42" s="5">
        <f t="shared" si="3"/>
        <v>2284562</v>
      </c>
    </row>
    <row r="43" spans="1:20" ht="409.6" customHeight="1" x14ac:dyDescent="0.25">
      <c r="A43" s="879"/>
      <c r="B43" s="862"/>
      <c r="C43" s="862"/>
      <c r="D43" s="791"/>
      <c r="E43" s="862"/>
      <c r="F43" s="862"/>
      <c r="G43" s="887"/>
      <c r="H43" s="809"/>
      <c r="I43" s="862"/>
      <c r="J43" s="791"/>
      <c r="K43" s="839"/>
      <c r="L43" s="830"/>
      <c r="M43" s="830"/>
      <c r="N43" s="997"/>
      <c r="O43" s="998"/>
      <c r="P43" s="787"/>
      <c r="Q43" s="831"/>
      <c r="R43" s="835"/>
      <c r="S43" s="378"/>
      <c r="T43" s="5"/>
    </row>
    <row r="44" spans="1:20" ht="92.25" customHeight="1" x14ac:dyDescent="0.25">
      <c r="A44" s="879"/>
      <c r="B44" s="862"/>
      <c r="C44" s="862"/>
      <c r="D44" s="791"/>
      <c r="E44" s="862"/>
      <c r="F44" s="862"/>
      <c r="G44" s="887"/>
      <c r="H44" s="809"/>
      <c r="I44" s="862"/>
      <c r="J44" s="792"/>
      <c r="K44" s="822"/>
      <c r="L44" s="820"/>
      <c r="M44" s="820"/>
      <c r="N44" s="818"/>
      <c r="O44" s="816"/>
      <c r="P44" s="814"/>
      <c r="Q44" s="831"/>
      <c r="R44" s="836"/>
      <c r="S44" s="378"/>
      <c r="T44" s="5"/>
    </row>
    <row r="45" spans="1:20" ht="220.5" customHeight="1" x14ac:dyDescent="0.25">
      <c r="A45" s="877"/>
      <c r="B45" s="863"/>
      <c r="C45" s="863"/>
      <c r="D45" s="792"/>
      <c r="E45" s="863"/>
      <c r="F45" s="863"/>
      <c r="G45" s="888"/>
      <c r="H45" s="785"/>
      <c r="I45" s="863"/>
      <c r="J45" s="357" t="s">
        <v>30</v>
      </c>
      <c r="K45" s="360" t="s">
        <v>364</v>
      </c>
      <c r="L45" s="358">
        <v>35000</v>
      </c>
      <c r="M45" s="358">
        <v>33000</v>
      </c>
      <c r="N45" s="192">
        <v>33000</v>
      </c>
      <c r="O45" s="187"/>
      <c r="P45" s="356">
        <f t="shared" si="1"/>
        <v>0.94285714285714284</v>
      </c>
      <c r="Q45" s="788"/>
      <c r="R45" s="359" t="s">
        <v>516</v>
      </c>
      <c r="S45" s="378">
        <f t="shared" si="2"/>
        <v>5.7142857142857141E-2</v>
      </c>
      <c r="T45" s="5">
        <f t="shared" si="3"/>
        <v>2000</v>
      </c>
    </row>
    <row r="46" spans="1:20" ht="65.25" customHeight="1" x14ac:dyDescent="0.25">
      <c r="A46" s="876">
        <v>9</v>
      </c>
      <c r="B46" s="861" t="s">
        <v>4</v>
      </c>
      <c r="C46" s="875" t="s">
        <v>183</v>
      </c>
      <c r="D46" s="914" t="s">
        <v>673</v>
      </c>
      <c r="E46" s="881" t="s">
        <v>49</v>
      </c>
      <c r="F46" s="882" t="s">
        <v>16</v>
      </c>
      <c r="G46" s="802">
        <v>7683717.46</v>
      </c>
      <c r="H46" s="797" t="s">
        <v>507</v>
      </c>
      <c r="I46" s="875" t="s">
        <v>251</v>
      </c>
      <c r="J46" s="202" t="s">
        <v>140</v>
      </c>
      <c r="K46" s="864" t="s">
        <v>305</v>
      </c>
      <c r="L46" s="185">
        <v>994</v>
      </c>
      <c r="M46" s="185">
        <f t="shared" si="0"/>
        <v>994</v>
      </c>
      <c r="N46" s="189">
        <v>994</v>
      </c>
      <c r="O46" s="187"/>
      <c r="P46" s="183">
        <f t="shared" si="1"/>
        <v>1</v>
      </c>
      <c r="Q46" s="786">
        <f>(M46+M47+M48)/G46</f>
        <v>0.13147645462747143</v>
      </c>
      <c r="R46" s="979" t="s">
        <v>596</v>
      </c>
      <c r="S46" s="378">
        <f t="shared" si="2"/>
        <v>0</v>
      </c>
      <c r="T46" s="5">
        <f t="shared" si="3"/>
        <v>0</v>
      </c>
    </row>
    <row r="47" spans="1:20" ht="104.25" customHeight="1" x14ac:dyDescent="0.25">
      <c r="A47" s="879"/>
      <c r="B47" s="862"/>
      <c r="C47" s="862"/>
      <c r="D47" s="791"/>
      <c r="E47" s="841"/>
      <c r="F47" s="883"/>
      <c r="G47" s="859"/>
      <c r="H47" s="798"/>
      <c r="I47" s="862"/>
      <c r="J47" s="348" t="s">
        <v>154</v>
      </c>
      <c r="K47" s="865"/>
      <c r="L47" s="349">
        <v>924</v>
      </c>
      <c r="M47" s="349">
        <v>924</v>
      </c>
      <c r="N47" s="189">
        <v>924</v>
      </c>
      <c r="O47" s="187"/>
      <c r="P47" s="347">
        <f t="shared" si="1"/>
        <v>1</v>
      </c>
      <c r="Q47" s="831"/>
      <c r="R47" s="980"/>
      <c r="S47" s="378">
        <f t="shared" si="2"/>
        <v>0</v>
      </c>
      <c r="T47" s="5">
        <f t="shared" si="3"/>
        <v>0</v>
      </c>
    </row>
    <row r="48" spans="1:20" ht="252.75" customHeight="1" x14ac:dyDescent="0.25">
      <c r="A48" s="879"/>
      <c r="B48" s="862"/>
      <c r="C48" s="862"/>
      <c r="D48" s="791"/>
      <c r="E48" s="841"/>
      <c r="F48" s="883"/>
      <c r="G48" s="859"/>
      <c r="H48" s="798"/>
      <c r="I48" s="862"/>
      <c r="J48" s="202" t="s">
        <v>140</v>
      </c>
      <c r="K48" s="203" t="s">
        <v>233</v>
      </c>
      <c r="L48" s="185">
        <v>4033239.72</v>
      </c>
      <c r="M48" s="185">
        <f t="shared" si="0"/>
        <v>1008309.93</v>
      </c>
      <c r="N48" s="186"/>
      <c r="O48" s="187">
        <v>1008309.93</v>
      </c>
      <c r="P48" s="183">
        <f t="shared" si="1"/>
        <v>0.25</v>
      </c>
      <c r="Q48" s="831"/>
      <c r="R48" s="322" t="s">
        <v>681</v>
      </c>
      <c r="S48" s="378">
        <f t="shared" si="2"/>
        <v>0.75</v>
      </c>
      <c r="T48" s="5">
        <f t="shared" si="3"/>
        <v>3024929.79</v>
      </c>
    </row>
    <row r="49" spans="1:20" ht="79.5" customHeight="1" x14ac:dyDescent="0.25">
      <c r="A49" s="785"/>
      <c r="B49" s="792"/>
      <c r="C49" s="792"/>
      <c r="D49" s="792"/>
      <c r="E49" s="792"/>
      <c r="F49" s="844"/>
      <c r="G49" s="847"/>
      <c r="H49" s="799"/>
      <c r="I49" s="792"/>
      <c r="J49" s="508" t="s">
        <v>456</v>
      </c>
      <c r="K49" s="203" t="s">
        <v>233</v>
      </c>
      <c r="L49" s="415">
        <v>0</v>
      </c>
      <c r="M49" s="415">
        <v>0</v>
      </c>
      <c r="N49" s="186"/>
      <c r="O49" s="187"/>
      <c r="P49" s="507">
        <v>0</v>
      </c>
      <c r="Q49" s="814"/>
      <c r="R49" s="322" t="s">
        <v>597</v>
      </c>
      <c r="S49" s="378"/>
      <c r="T49" s="5"/>
    </row>
    <row r="50" spans="1:20" ht="228" customHeight="1" x14ac:dyDescent="0.25">
      <c r="A50" s="876">
        <v>10</v>
      </c>
      <c r="B50" s="861" t="s">
        <v>4</v>
      </c>
      <c r="C50" s="861" t="s">
        <v>184</v>
      </c>
      <c r="D50" s="914" t="s">
        <v>674</v>
      </c>
      <c r="E50" s="840" t="s">
        <v>50</v>
      </c>
      <c r="F50" s="882" t="s">
        <v>16</v>
      </c>
      <c r="G50" s="802">
        <v>13179425.42</v>
      </c>
      <c r="H50" s="797" t="s">
        <v>72</v>
      </c>
      <c r="I50" s="861" t="s">
        <v>166</v>
      </c>
      <c r="J50" s="184" t="s">
        <v>140</v>
      </c>
      <c r="K50" s="852" t="s">
        <v>234</v>
      </c>
      <c r="L50" s="185">
        <v>101336.35</v>
      </c>
      <c r="M50" s="215">
        <v>20267.27</v>
      </c>
      <c r="N50" s="390">
        <v>20267.27</v>
      </c>
      <c r="O50" s="187"/>
      <c r="P50" s="183">
        <f t="shared" si="1"/>
        <v>0.19999999999999998</v>
      </c>
      <c r="Q50" s="786">
        <f>M50/G50</f>
        <v>1.5377961750323407E-3</v>
      </c>
      <c r="R50" s="322" t="s">
        <v>679</v>
      </c>
      <c r="S50" s="378">
        <f t="shared" si="2"/>
        <v>0.79999999999999993</v>
      </c>
      <c r="T50" s="5">
        <f t="shared" si="3"/>
        <v>81069.08</v>
      </c>
    </row>
    <row r="51" spans="1:20" ht="66" x14ac:dyDescent="0.25">
      <c r="A51" s="877"/>
      <c r="B51" s="863"/>
      <c r="C51" s="863"/>
      <c r="D51" s="792"/>
      <c r="E51" s="938"/>
      <c r="F51" s="939"/>
      <c r="G51" s="803"/>
      <c r="H51" s="799"/>
      <c r="I51" s="863"/>
      <c r="J51" s="370" t="s">
        <v>30</v>
      </c>
      <c r="K51" s="853"/>
      <c r="L51" s="372">
        <v>0</v>
      </c>
      <c r="M51" s="215">
        <v>0</v>
      </c>
      <c r="N51" s="186"/>
      <c r="O51" s="187"/>
      <c r="P51" s="371">
        <v>0</v>
      </c>
      <c r="Q51" s="788"/>
      <c r="R51" s="322" t="s">
        <v>598</v>
      </c>
      <c r="S51" s="378" t="e">
        <f t="shared" si="2"/>
        <v>#DIV/0!</v>
      </c>
      <c r="T51" s="5">
        <f t="shared" si="3"/>
        <v>0</v>
      </c>
    </row>
    <row r="52" spans="1:20" ht="330.75" customHeight="1" x14ac:dyDescent="0.25">
      <c r="A52" s="876">
        <v>11</v>
      </c>
      <c r="B52" s="861" t="s">
        <v>4</v>
      </c>
      <c r="C52" s="991" t="s">
        <v>185</v>
      </c>
      <c r="D52" s="914" t="s">
        <v>674</v>
      </c>
      <c r="E52" s="840" t="s">
        <v>51</v>
      </c>
      <c r="F52" s="882" t="s">
        <v>16</v>
      </c>
      <c r="G52" s="802">
        <v>11568526.630000001</v>
      </c>
      <c r="H52" s="797" t="s">
        <v>72</v>
      </c>
      <c r="I52" s="861" t="s">
        <v>166</v>
      </c>
      <c r="J52" s="184" t="s">
        <v>140</v>
      </c>
      <c r="K52" s="852" t="s">
        <v>235</v>
      </c>
      <c r="L52" s="185">
        <v>2675450.1</v>
      </c>
      <c r="M52" s="402">
        <v>2318723.42</v>
      </c>
      <c r="N52" s="390">
        <v>2318723.42</v>
      </c>
      <c r="O52" s="187"/>
      <c r="P52" s="183">
        <f t="shared" si="1"/>
        <v>0.86666666666666659</v>
      </c>
      <c r="Q52" s="786">
        <f>M52/G52</f>
        <v>0.20043377122778855</v>
      </c>
      <c r="R52" s="322" t="s">
        <v>680</v>
      </c>
      <c r="S52" s="378">
        <f t="shared" si="2"/>
        <v>0.13333333333333339</v>
      </c>
      <c r="T52" s="5">
        <f t="shared" si="3"/>
        <v>356726.68000000017</v>
      </c>
    </row>
    <row r="53" spans="1:20" ht="82.5" customHeight="1" x14ac:dyDescent="0.25">
      <c r="A53" s="877"/>
      <c r="B53" s="863"/>
      <c r="C53" s="863"/>
      <c r="D53" s="792"/>
      <c r="E53" s="938"/>
      <c r="F53" s="939"/>
      <c r="G53" s="803"/>
      <c r="H53" s="799"/>
      <c r="I53" s="863"/>
      <c r="J53" s="370" t="s">
        <v>30</v>
      </c>
      <c r="K53" s="853"/>
      <c r="L53" s="372">
        <v>0</v>
      </c>
      <c r="M53" s="215">
        <v>0</v>
      </c>
      <c r="N53" s="186"/>
      <c r="O53" s="187"/>
      <c r="P53" s="371">
        <v>0</v>
      </c>
      <c r="Q53" s="788"/>
      <c r="R53" s="322" t="s">
        <v>599</v>
      </c>
      <c r="S53" s="378" t="e">
        <f t="shared" si="2"/>
        <v>#DIV/0!</v>
      </c>
      <c r="T53" s="5">
        <f t="shared" si="3"/>
        <v>0</v>
      </c>
    </row>
    <row r="54" spans="1:20" ht="75" x14ac:dyDescent="0.25">
      <c r="A54" s="876">
        <v>12</v>
      </c>
      <c r="B54" s="861" t="s">
        <v>4</v>
      </c>
      <c r="C54" s="875" t="s">
        <v>186</v>
      </c>
      <c r="D54" s="914" t="s">
        <v>670</v>
      </c>
      <c r="E54" s="884" t="s">
        <v>362</v>
      </c>
      <c r="F54" s="842" t="s">
        <v>8</v>
      </c>
      <c r="G54" s="992">
        <v>87687163</v>
      </c>
      <c r="H54" s="903" t="s">
        <v>72</v>
      </c>
      <c r="I54" s="804" t="s">
        <v>384</v>
      </c>
      <c r="J54" s="184" t="s">
        <v>151</v>
      </c>
      <c r="K54" s="195" t="s">
        <v>248</v>
      </c>
      <c r="L54" s="185">
        <v>4318559.55</v>
      </c>
      <c r="M54" s="185">
        <f t="shared" si="0"/>
        <v>0</v>
      </c>
      <c r="N54" s="189">
        <v>0</v>
      </c>
      <c r="O54" s="187"/>
      <c r="P54" s="183">
        <f t="shared" si="1"/>
        <v>0</v>
      </c>
      <c r="Q54" s="786">
        <f>(M54+M55+M56+M57+M58+M59+M60+M61)/G54</f>
        <v>0.85109249503259676</v>
      </c>
      <c r="R54" s="448" t="s">
        <v>443</v>
      </c>
      <c r="S54" s="378">
        <f t="shared" si="2"/>
        <v>1</v>
      </c>
      <c r="T54" s="5">
        <f t="shared" si="3"/>
        <v>4318559.55</v>
      </c>
    </row>
    <row r="55" spans="1:20" ht="30" x14ac:dyDescent="0.25">
      <c r="A55" s="879"/>
      <c r="B55" s="862"/>
      <c r="C55" s="862"/>
      <c r="D55" s="791"/>
      <c r="E55" s="885"/>
      <c r="F55" s="843"/>
      <c r="G55" s="993"/>
      <c r="H55" s="795"/>
      <c r="I55" s="805"/>
      <c r="J55" s="184" t="s">
        <v>153</v>
      </c>
      <c r="K55" s="907"/>
      <c r="L55" s="185">
        <v>797744</v>
      </c>
      <c r="M55" s="185">
        <f t="shared" si="0"/>
        <v>0</v>
      </c>
      <c r="N55" s="189">
        <v>0</v>
      </c>
      <c r="O55" s="190"/>
      <c r="P55" s="183">
        <f t="shared" si="1"/>
        <v>0</v>
      </c>
      <c r="Q55" s="831"/>
      <c r="R55" s="188" t="s">
        <v>227</v>
      </c>
      <c r="S55" s="378">
        <f t="shared" ref="S55:S109" si="4">T55/L55</f>
        <v>1</v>
      </c>
      <c r="T55" s="5">
        <f t="shared" ref="T55:T109" si="5">L55-M55</f>
        <v>797744</v>
      </c>
    </row>
    <row r="56" spans="1:20" ht="30" x14ac:dyDescent="0.25">
      <c r="A56" s="879"/>
      <c r="B56" s="862"/>
      <c r="C56" s="862"/>
      <c r="D56" s="791"/>
      <c r="E56" s="885"/>
      <c r="F56" s="843"/>
      <c r="G56" s="993"/>
      <c r="H56" s="795"/>
      <c r="I56" s="805"/>
      <c r="J56" s="184" t="s">
        <v>156</v>
      </c>
      <c r="K56" s="853"/>
      <c r="L56" s="185">
        <v>25801</v>
      </c>
      <c r="M56" s="185">
        <v>25801</v>
      </c>
      <c r="N56" s="189">
        <v>25801</v>
      </c>
      <c r="O56" s="190"/>
      <c r="P56" s="183">
        <f t="shared" si="1"/>
        <v>1</v>
      </c>
      <c r="Q56" s="831"/>
      <c r="R56" s="188" t="s">
        <v>228</v>
      </c>
      <c r="S56" s="378">
        <f t="shared" si="4"/>
        <v>0</v>
      </c>
      <c r="T56" s="5">
        <f t="shared" si="5"/>
        <v>0</v>
      </c>
    </row>
    <row r="57" spans="1:20" ht="63.75" customHeight="1" x14ac:dyDescent="0.25">
      <c r="A57" s="879"/>
      <c r="B57" s="862"/>
      <c r="C57" s="862"/>
      <c r="D57" s="791"/>
      <c r="E57" s="885"/>
      <c r="F57" s="843"/>
      <c r="G57" s="993"/>
      <c r="H57" s="795"/>
      <c r="I57" s="805"/>
      <c r="J57" s="837" t="s">
        <v>139</v>
      </c>
      <c r="K57" s="827" t="s">
        <v>455</v>
      </c>
      <c r="L57" s="819">
        <v>63267368</v>
      </c>
      <c r="M57" s="415">
        <v>1225412</v>
      </c>
      <c r="N57" s="189">
        <v>1225412</v>
      </c>
      <c r="O57" s="190"/>
      <c r="P57" s="786">
        <f>(M57+M58+M59)/L57</f>
        <v>0.99999999715493149</v>
      </c>
      <c r="Q57" s="831"/>
      <c r="R57" s="188" t="s">
        <v>230</v>
      </c>
      <c r="S57" s="378"/>
      <c r="T57" s="5"/>
    </row>
    <row r="58" spans="1:20" ht="261.75" customHeight="1" x14ac:dyDescent="0.25">
      <c r="A58" s="879"/>
      <c r="B58" s="862"/>
      <c r="C58" s="862"/>
      <c r="D58" s="791"/>
      <c r="E58" s="885"/>
      <c r="F58" s="843"/>
      <c r="G58" s="993"/>
      <c r="H58" s="795"/>
      <c r="I58" s="805"/>
      <c r="J58" s="791"/>
      <c r="K58" s="828"/>
      <c r="L58" s="830"/>
      <c r="M58" s="185">
        <f t="shared" si="0"/>
        <v>62039804.600000001</v>
      </c>
      <c r="N58" s="192">
        <v>62039804.600000001</v>
      </c>
      <c r="O58" s="187"/>
      <c r="P58" s="787"/>
      <c r="Q58" s="831"/>
      <c r="R58" s="322" t="s">
        <v>517</v>
      </c>
      <c r="S58" s="378">
        <f>T58/L57</f>
        <v>1.9402789128196363E-2</v>
      </c>
      <c r="T58" s="5">
        <f>L57-M58</f>
        <v>1227563.3999999985</v>
      </c>
    </row>
    <row r="59" spans="1:20" ht="54" customHeight="1" x14ac:dyDescent="0.25">
      <c r="A59" s="879"/>
      <c r="B59" s="862"/>
      <c r="C59" s="862"/>
      <c r="D59" s="791"/>
      <c r="E59" s="885"/>
      <c r="F59" s="843"/>
      <c r="G59" s="993"/>
      <c r="H59" s="795"/>
      <c r="I59" s="805"/>
      <c r="J59" s="792"/>
      <c r="K59" s="829"/>
      <c r="L59" s="820"/>
      <c r="M59" s="415">
        <v>2151.2199999999998</v>
      </c>
      <c r="N59" s="486">
        <v>2151.2199999999998</v>
      </c>
      <c r="O59" s="187"/>
      <c r="P59" s="814"/>
      <c r="Q59" s="831"/>
      <c r="R59" s="477" t="s">
        <v>451</v>
      </c>
      <c r="S59" s="378"/>
      <c r="T59" s="5"/>
    </row>
    <row r="60" spans="1:20" ht="79.5" customHeight="1" x14ac:dyDescent="0.25">
      <c r="A60" s="879"/>
      <c r="B60" s="862"/>
      <c r="C60" s="862"/>
      <c r="D60" s="791"/>
      <c r="E60" s="885"/>
      <c r="F60" s="843"/>
      <c r="G60" s="993"/>
      <c r="H60" s="795"/>
      <c r="I60" s="805"/>
      <c r="J60" s="485" t="s">
        <v>144</v>
      </c>
      <c r="K60" s="195" t="s">
        <v>249</v>
      </c>
      <c r="L60" s="185">
        <v>11336717.52</v>
      </c>
      <c r="M60" s="185">
        <f t="shared" si="0"/>
        <v>11336717.52</v>
      </c>
      <c r="N60" s="186"/>
      <c r="O60" s="204">
        <v>11336717.52</v>
      </c>
      <c r="P60" s="183">
        <f t="shared" si="1"/>
        <v>1</v>
      </c>
      <c r="Q60" s="831"/>
      <c r="R60" s="560" t="s">
        <v>521</v>
      </c>
      <c r="S60" s="378">
        <f t="shared" si="4"/>
        <v>0</v>
      </c>
      <c r="T60" s="5">
        <f t="shared" si="5"/>
        <v>0</v>
      </c>
    </row>
    <row r="61" spans="1:20" ht="78" customHeight="1" x14ac:dyDescent="0.25">
      <c r="A61" s="877"/>
      <c r="B61" s="863"/>
      <c r="C61" s="863"/>
      <c r="D61" s="792"/>
      <c r="E61" s="996"/>
      <c r="F61" s="995"/>
      <c r="G61" s="994"/>
      <c r="H61" s="796"/>
      <c r="I61" s="806"/>
      <c r="J61" s="367" t="s">
        <v>30</v>
      </c>
      <c r="K61" s="369" t="s">
        <v>387</v>
      </c>
      <c r="L61" s="368">
        <v>0</v>
      </c>
      <c r="M61" s="368">
        <v>0</v>
      </c>
      <c r="N61" s="186"/>
      <c r="O61" s="204"/>
      <c r="P61" s="366">
        <v>0</v>
      </c>
      <c r="Q61" s="788"/>
      <c r="R61" s="671" t="s">
        <v>600</v>
      </c>
      <c r="S61" s="378" t="e">
        <f t="shared" si="4"/>
        <v>#DIV/0!</v>
      </c>
      <c r="T61" s="5">
        <f t="shared" si="5"/>
        <v>0</v>
      </c>
    </row>
    <row r="62" spans="1:20" ht="45" x14ac:dyDescent="0.25">
      <c r="A62" s="876">
        <v>13</v>
      </c>
      <c r="B62" s="861" t="s">
        <v>4</v>
      </c>
      <c r="C62" s="936" t="s">
        <v>20</v>
      </c>
      <c r="D62" s="914" t="s">
        <v>673</v>
      </c>
      <c r="E62" s="937" t="s">
        <v>53</v>
      </c>
      <c r="F62" s="882" t="s">
        <v>16</v>
      </c>
      <c r="G62" s="802">
        <v>1548180.56</v>
      </c>
      <c r="H62" s="904" t="s">
        <v>507</v>
      </c>
      <c r="I62" s="861" t="s">
        <v>251</v>
      </c>
      <c r="J62" s="184" t="s">
        <v>146</v>
      </c>
      <c r="K62" s="852" t="s">
        <v>236</v>
      </c>
      <c r="L62" s="185">
        <v>1105</v>
      </c>
      <c r="M62" s="185">
        <f t="shared" si="0"/>
        <v>940</v>
      </c>
      <c r="N62" s="189">
        <v>940</v>
      </c>
      <c r="O62" s="205"/>
      <c r="P62" s="183">
        <f t="shared" si="1"/>
        <v>0.85067873303167418</v>
      </c>
      <c r="Q62" s="786">
        <f>(M62+M63)/G62</f>
        <v>1.1788030719104235E-3</v>
      </c>
      <c r="R62" s="979" t="s">
        <v>601</v>
      </c>
      <c r="S62" s="378">
        <f t="shared" si="4"/>
        <v>0.14932126696832579</v>
      </c>
      <c r="T62" s="5">
        <f t="shared" si="5"/>
        <v>165</v>
      </c>
    </row>
    <row r="63" spans="1:20" ht="139.5" customHeight="1" x14ac:dyDescent="0.25">
      <c r="A63" s="877"/>
      <c r="B63" s="863"/>
      <c r="C63" s="863"/>
      <c r="D63" s="792"/>
      <c r="E63" s="938"/>
      <c r="F63" s="939"/>
      <c r="G63" s="803"/>
      <c r="H63" s="799"/>
      <c r="I63" s="863"/>
      <c r="J63" s="323" t="s">
        <v>147</v>
      </c>
      <c r="K63" s="853"/>
      <c r="L63" s="317">
        <v>885</v>
      </c>
      <c r="M63" s="317">
        <f t="shared" si="0"/>
        <v>885</v>
      </c>
      <c r="N63" s="189">
        <v>885</v>
      </c>
      <c r="O63" s="205"/>
      <c r="P63" s="316">
        <f t="shared" si="1"/>
        <v>1</v>
      </c>
      <c r="Q63" s="788"/>
      <c r="R63" s="980"/>
      <c r="S63" s="378">
        <f t="shared" si="4"/>
        <v>0</v>
      </c>
      <c r="T63" s="5">
        <f t="shared" si="5"/>
        <v>0</v>
      </c>
    </row>
    <row r="64" spans="1:20" ht="111" x14ac:dyDescent="0.25">
      <c r="A64" s="312">
        <v>14</v>
      </c>
      <c r="B64" s="196" t="s">
        <v>4</v>
      </c>
      <c r="C64" s="196" t="s">
        <v>187</v>
      </c>
      <c r="D64" s="711" t="s">
        <v>672</v>
      </c>
      <c r="E64" s="255" t="s">
        <v>278</v>
      </c>
      <c r="F64" s="206" t="s">
        <v>10</v>
      </c>
      <c r="G64" s="354">
        <v>24132550</v>
      </c>
      <c r="H64" s="559" t="s">
        <v>505</v>
      </c>
      <c r="I64" s="350" t="s">
        <v>167</v>
      </c>
      <c r="J64" s="237" t="s">
        <v>274</v>
      </c>
      <c r="K64" s="256" t="s">
        <v>283</v>
      </c>
      <c r="L64" s="185">
        <v>43066.02</v>
      </c>
      <c r="M64" s="185">
        <f t="shared" si="0"/>
        <v>0</v>
      </c>
      <c r="N64" s="207">
        <v>0</v>
      </c>
      <c r="O64" s="190">
        <v>0</v>
      </c>
      <c r="P64" s="183">
        <f t="shared" si="1"/>
        <v>0</v>
      </c>
      <c r="Q64" s="183">
        <f t="shared" ref="Q64:Q76" si="6">M64/G64</f>
        <v>0</v>
      </c>
      <c r="R64" s="670" t="s">
        <v>602</v>
      </c>
      <c r="S64" s="378">
        <f t="shared" si="4"/>
        <v>1</v>
      </c>
      <c r="T64" s="5">
        <f t="shared" si="5"/>
        <v>43066.02</v>
      </c>
    </row>
    <row r="65" spans="1:20" ht="409.6" customHeight="1" x14ac:dyDescent="0.25">
      <c r="A65" s="876">
        <v>15</v>
      </c>
      <c r="B65" s="889" t="s">
        <v>4</v>
      </c>
      <c r="C65" s="889" t="s">
        <v>21</v>
      </c>
      <c r="D65" s="912" t="s">
        <v>672</v>
      </c>
      <c r="E65" s="884" t="s">
        <v>54</v>
      </c>
      <c r="F65" s="882" t="s">
        <v>10</v>
      </c>
      <c r="G65" s="873">
        <v>53089709.939999998</v>
      </c>
      <c r="H65" s="794" t="s">
        <v>506</v>
      </c>
      <c r="I65" s="790" t="s">
        <v>372</v>
      </c>
      <c r="J65" s="906" t="s">
        <v>140</v>
      </c>
      <c r="K65" s="852" t="s">
        <v>237</v>
      </c>
      <c r="L65" s="819">
        <v>459110.99</v>
      </c>
      <c r="M65" s="819">
        <v>109136.6</v>
      </c>
      <c r="N65" s="817">
        <v>109136.6</v>
      </c>
      <c r="O65" s="975"/>
      <c r="P65" s="786">
        <f t="shared" si="1"/>
        <v>0.23771288942571384</v>
      </c>
      <c r="Q65" s="786">
        <f>(M65+M67+M69)/G65</f>
        <v>2.4520958985672697E-3</v>
      </c>
      <c r="R65" s="832" t="s">
        <v>650</v>
      </c>
      <c r="S65" s="378">
        <f t="shared" si="4"/>
        <v>0.76228711057428622</v>
      </c>
      <c r="T65" s="5">
        <f t="shared" si="5"/>
        <v>349974.39</v>
      </c>
    </row>
    <row r="66" spans="1:20" ht="66.75" customHeight="1" x14ac:dyDescent="0.25">
      <c r="A66" s="879"/>
      <c r="B66" s="890"/>
      <c r="C66" s="890"/>
      <c r="D66" s="913"/>
      <c r="E66" s="885"/>
      <c r="F66" s="883"/>
      <c r="G66" s="874"/>
      <c r="H66" s="905"/>
      <c r="I66" s="902"/>
      <c r="J66" s="792"/>
      <c r="K66" s="822"/>
      <c r="L66" s="820"/>
      <c r="M66" s="820"/>
      <c r="N66" s="818"/>
      <c r="O66" s="816"/>
      <c r="P66" s="814"/>
      <c r="Q66" s="831"/>
      <c r="R66" s="833"/>
      <c r="S66" s="378"/>
      <c r="T66" s="5"/>
    </row>
    <row r="67" spans="1:20" ht="409.6" customHeight="1" x14ac:dyDescent="0.25">
      <c r="A67" s="784"/>
      <c r="B67" s="890"/>
      <c r="C67" s="890"/>
      <c r="D67" s="913"/>
      <c r="E67" s="885"/>
      <c r="F67" s="850"/>
      <c r="G67" s="851"/>
      <c r="H67" s="795"/>
      <c r="I67" s="791"/>
      <c r="J67" s="823" t="s">
        <v>404</v>
      </c>
      <c r="K67" s="821" t="s">
        <v>405</v>
      </c>
      <c r="L67" s="819">
        <v>17087.400000000001</v>
      </c>
      <c r="M67" s="819">
        <v>17087.400000000001</v>
      </c>
      <c r="N67" s="817">
        <v>17087.400000000001</v>
      </c>
      <c r="O67" s="815"/>
      <c r="P67" s="786">
        <f t="shared" si="1"/>
        <v>1</v>
      </c>
      <c r="Q67" s="787"/>
      <c r="R67" s="812" t="s">
        <v>651</v>
      </c>
      <c r="S67" s="378"/>
      <c r="T67" s="5"/>
    </row>
    <row r="68" spans="1:20" ht="59.25" customHeight="1" x14ac:dyDescent="0.25">
      <c r="A68" s="784"/>
      <c r="B68" s="890"/>
      <c r="C68" s="890"/>
      <c r="D68" s="913"/>
      <c r="E68" s="885"/>
      <c r="F68" s="850"/>
      <c r="G68" s="851"/>
      <c r="H68" s="795"/>
      <c r="I68" s="791"/>
      <c r="J68" s="792"/>
      <c r="K68" s="822"/>
      <c r="L68" s="820"/>
      <c r="M68" s="820"/>
      <c r="N68" s="818"/>
      <c r="O68" s="816"/>
      <c r="P68" s="814"/>
      <c r="Q68" s="787"/>
      <c r="R68" s="813"/>
      <c r="S68" s="378"/>
      <c r="T68" s="5"/>
    </row>
    <row r="69" spans="1:20" ht="94.5" customHeight="1" x14ac:dyDescent="0.25">
      <c r="A69" s="785"/>
      <c r="B69" s="891"/>
      <c r="C69" s="891"/>
      <c r="D69" s="891"/>
      <c r="E69" s="792"/>
      <c r="F69" s="844"/>
      <c r="G69" s="847"/>
      <c r="H69" s="796"/>
      <c r="I69" s="792"/>
      <c r="J69" s="399" t="s">
        <v>419</v>
      </c>
      <c r="K69" s="442" t="s">
        <v>436</v>
      </c>
      <c r="L69" s="415">
        <v>3957.06</v>
      </c>
      <c r="M69" s="415">
        <v>3957.06</v>
      </c>
      <c r="N69" s="189">
        <v>3957.06</v>
      </c>
      <c r="O69" s="217"/>
      <c r="P69" s="440">
        <f t="shared" si="1"/>
        <v>1</v>
      </c>
      <c r="Q69" s="814"/>
      <c r="R69" s="441" t="s">
        <v>603</v>
      </c>
      <c r="S69" s="378"/>
      <c r="T69" s="5"/>
    </row>
    <row r="70" spans="1:20" ht="96" x14ac:dyDescent="0.25">
      <c r="A70" s="312">
        <v>16</v>
      </c>
      <c r="B70" s="196" t="s">
        <v>4</v>
      </c>
      <c r="C70" s="196" t="s">
        <v>188</v>
      </c>
      <c r="D70" s="711" t="s">
        <v>675</v>
      </c>
      <c r="E70" s="208" t="s">
        <v>55</v>
      </c>
      <c r="F70" s="201" t="s">
        <v>23</v>
      </c>
      <c r="G70" s="209">
        <v>168042284</v>
      </c>
      <c r="H70" s="559" t="s">
        <v>72</v>
      </c>
      <c r="I70" s="361" t="s">
        <v>373</v>
      </c>
      <c r="J70" s="401" t="s">
        <v>407</v>
      </c>
      <c r="K70" s="308" t="s">
        <v>306</v>
      </c>
      <c r="L70" s="210">
        <v>277298</v>
      </c>
      <c r="M70" s="340">
        <f t="shared" si="0"/>
        <v>277298</v>
      </c>
      <c r="N70" s="186"/>
      <c r="O70" s="187">
        <v>277298</v>
      </c>
      <c r="P70" s="183">
        <f t="shared" si="1"/>
        <v>1</v>
      </c>
      <c r="Q70" s="183">
        <f t="shared" si="6"/>
        <v>1.6501680017631754E-3</v>
      </c>
      <c r="R70" s="322" t="s">
        <v>604</v>
      </c>
      <c r="S70" s="378">
        <f t="shared" si="4"/>
        <v>0</v>
      </c>
      <c r="T70" s="5">
        <f t="shared" si="5"/>
        <v>0</v>
      </c>
    </row>
    <row r="71" spans="1:20" ht="162" customHeight="1" x14ac:dyDescent="0.25">
      <c r="A71" s="312">
        <v>17</v>
      </c>
      <c r="B71" s="196" t="s">
        <v>4</v>
      </c>
      <c r="C71" s="211" t="s">
        <v>189</v>
      </c>
      <c r="D71" s="211" t="s">
        <v>671</v>
      </c>
      <c r="E71" s="208" t="s">
        <v>466</v>
      </c>
      <c r="F71" s="212" t="s">
        <v>8</v>
      </c>
      <c r="G71" s="209">
        <v>44850000</v>
      </c>
      <c r="H71" s="559" t="s">
        <v>72</v>
      </c>
      <c r="I71" s="362" t="s">
        <v>165</v>
      </c>
      <c r="J71" s="213" t="s">
        <v>142</v>
      </c>
      <c r="K71" s="214" t="s">
        <v>307</v>
      </c>
      <c r="L71" s="215">
        <v>9250.01</v>
      </c>
      <c r="M71" s="185">
        <f t="shared" si="0"/>
        <v>8500.01</v>
      </c>
      <c r="N71" s="189">
        <v>8500.01</v>
      </c>
      <c r="O71" s="143">
        <v>0</v>
      </c>
      <c r="P71" s="183">
        <f t="shared" si="1"/>
        <v>0.9189190065740469</v>
      </c>
      <c r="Q71" s="183">
        <f t="shared" si="6"/>
        <v>1.8952084726867337E-4</v>
      </c>
      <c r="R71" s="670" t="s">
        <v>605</v>
      </c>
      <c r="S71" s="378">
        <f t="shared" si="4"/>
        <v>8.1080993425953055E-2</v>
      </c>
      <c r="T71" s="5">
        <f t="shared" si="5"/>
        <v>750</v>
      </c>
    </row>
    <row r="72" spans="1:20" ht="216.75" customHeight="1" x14ac:dyDescent="0.25">
      <c r="A72" s="313">
        <v>18</v>
      </c>
      <c r="B72" s="211" t="s">
        <v>4</v>
      </c>
      <c r="C72" s="211" t="s">
        <v>190</v>
      </c>
      <c r="D72" s="211" t="s">
        <v>671</v>
      </c>
      <c r="E72" s="208" t="s">
        <v>467</v>
      </c>
      <c r="F72" s="212" t="s">
        <v>8</v>
      </c>
      <c r="G72" s="209">
        <v>32000000</v>
      </c>
      <c r="H72" s="559" t="s">
        <v>72</v>
      </c>
      <c r="I72" s="362" t="s">
        <v>374</v>
      </c>
      <c r="J72" s="213" t="s">
        <v>142</v>
      </c>
      <c r="K72" s="216" t="s">
        <v>238</v>
      </c>
      <c r="L72" s="215">
        <v>25876.89</v>
      </c>
      <c r="M72" s="185">
        <f t="shared" si="0"/>
        <v>16023.96</v>
      </c>
      <c r="N72" s="189">
        <v>16023.96</v>
      </c>
      <c r="O72" s="217"/>
      <c r="P72" s="183">
        <f t="shared" si="1"/>
        <v>0.6192382469454405</v>
      </c>
      <c r="Q72" s="183">
        <f t="shared" si="6"/>
        <v>5.0074875000000001E-4</v>
      </c>
      <c r="R72" s="670" t="s">
        <v>606</v>
      </c>
      <c r="S72" s="378">
        <f t="shared" si="4"/>
        <v>0.3807617530545595</v>
      </c>
      <c r="T72" s="5">
        <f t="shared" si="5"/>
        <v>9852.93</v>
      </c>
    </row>
    <row r="73" spans="1:20" ht="351" customHeight="1" x14ac:dyDescent="0.25">
      <c r="A73" s="876">
        <v>19</v>
      </c>
      <c r="B73" s="889" t="s">
        <v>4</v>
      </c>
      <c r="C73" s="889" t="s">
        <v>191</v>
      </c>
      <c r="D73" s="912" t="s">
        <v>676</v>
      </c>
      <c r="E73" s="840" t="s">
        <v>202</v>
      </c>
      <c r="F73" s="882" t="s">
        <v>28</v>
      </c>
      <c r="G73" s="802">
        <v>144128467</v>
      </c>
      <c r="H73" s="797" t="s">
        <v>508</v>
      </c>
      <c r="I73" s="790" t="s">
        <v>203</v>
      </c>
      <c r="J73" s="184" t="s">
        <v>140</v>
      </c>
      <c r="K73" s="900" t="s">
        <v>412</v>
      </c>
      <c r="L73" s="411">
        <v>9222024</v>
      </c>
      <c r="M73" s="185">
        <f t="shared" si="0"/>
        <v>9222024</v>
      </c>
      <c r="N73" s="486">
        <v>9222024</v>
      </c>
      <c r="O73" s="187">
        <v>0</v>
      </c>
      <c r="P73" s="183">
        <f t="shared" si="1"/>
        <v>1</v>
      </c>
      <c r="Q73" s="786">
        <f>(M73+M74)/G73</f>
        <v>0.12796950098692161</v>
      </c>
      <c r="R73" s="723" t="s">
        <v>692</v>
      </c>
      <c r="S73" s="378">
        <f t="shared" si="4"/>
        <v>0</v>
      </c>
      <c r="T73" s="5">
        <f t="shared" si="5"/>
        <v>0</v>
      </c>
    </row>
    <row r="74" spans="1:20" ht="81" x14ac:dyDescent="0.25">
      <c r="A74" s="784"/>
      <c r="B74" s="890"/>
      <c r="C74" s="890"/>
      <c r="D74" s="913"/>
      <c r="E74" s="791"/>
      <c r="F74" s="850"/>
      <c r="G74" s="851"/>
      <c r="H74" s="798"/>
      <c r="I74" s="791"/>
      <c r="J74" s="398" t="s">
        <v>147</v>
      </c>
      <c r="K74" s="901"/>
      <c r="L74" s="411">
        <v>9222024</v>
      </c>
      <c r="M74" s="396">
        <v>9222024</v>
      </c>
      <c r="N74" s="390"/>
      <c r="O74" s="187">
        <v>9222024</v>
      </c>
      <c r="P74" s="397">
        <f t="shared" si="1"/>
        <v>1</v>
      </c>
      <c r="Q74" s="788"/>
      <c r="R74" s="561" t="s">
        <v>522</v>
      </c>
      <c r="S74" s="378"/>
      <c r="T74" s="5"/>
    </row>
    <row r="75" spans="1:20" ht="111" x14ac:dyDescent="0.25">
      <c r="A75" s="785"/>
      <c r="B75" s="891"/>
      <c r="C75" s="891"/>
      <c r="D75" s="891"/>
      <c r="E75" s="792"/>
      <c r="F75" s="844"/>
      <c r="G75" s="847"/>
      <c r="H75" s="799"/>
      <c r="I75" s="792"/>
      <c r="J75" s="410" t="s">
        <v>411</v>
      </c>
      <c r="K75" s="216" t="s">
        <v>413</v>
      </c>
      <c r="L75" s="411">
        <v>0</v>
      </c>
      <c r="M75" s="409">
        <v>0</v>
      </c>
      <c r="N75" s="390"/>
      <c r="O75" s="187">
        <v>0</v>
      </c>
      <c r="P75" s="408"/>
      <c r="Q75" s="408"/>
      <c r="R75" s="322" t="s">
        <v>607</v>
      </c>
      <c r="S75" s="378"/>
      <c r="T75" s="5"/>
    </row>
    <row r="76" spans="1:20" ht="75" customHeight="1" x14ac:dyDescent="0.25">
      <c r="A76" s="312">
        <v>20</v>
      </c>
      <c r="B76" s="196" t="s">
        <v>4</v>
      </c>
      <c r="C76" s="196" t="s">
        <v>192</v>
      </c>
      <c r="D76" s="711" t="s">
        <v>674</v>
      </c>
      <c r="E76" s="364" t="s">
        <v>150</v>
      </c>
      <c r="F76" s="206" t="s">
        <v>149</v>
      </c>
      <c r="G76" s="354">
        <v>23352645</v>
      </c>
      <c r="H76" s="559" t="s">
        <v>72</v>
      </c>
      <c r="I76" s="213" t="s">
        <v>166</v>
      </c>
      <c r="J76" s="237" t="s">
        <v>275</v>
      </c>
      <c r="K76" s="218" t="s">
        <v>239</v>
      </c>
      <c r="L76" s="185">
        <v>95544.63</v>
      </c>
      <c r="M76" s="185">
        <f t="shared" si="0"/>
        <v>0</v>
      </c>
      <c r="N76" s="207">
        <v>0</v>
      </c>
      <c r="O76" s="190"/>
      <c r="P76" s="183">
        <f t="shared" si="1"/>
        <v>0</v>
      </c>
      <c r="Q76" s="183">
        <f t="shared" si="6"/>
        <v>0</v>
      </c>
      <c r="R76" s="672" t="s">
        <v>608</v>
      </c>
      <c r="S76" s="378">
        <f t="shared" si="4"/>
        <v>1</v>
      </c>
      <c r="T76" s="5">
        <f t="shared" si="5"/>
        <v>95544.63</v>
      </c>
    </row>
    <row r="77" spans="1:20" ht="171" customHeight="1" x14ac:dyDescent="0.25">
      <c r="A77" s="312">
        <v>21</v>
      </c>
      <c r="B77" s="196" t="s">
        <v>4</v>
      </c>
      <c r="C77" s="196" t="s">
        <v>29</v>
      </c>
      <c r="D77" s="711" t="s">
        <v>674</v>
      </c>
      <c r="E77" s="219" t="s">
        <v>59</v>
      </c>
      <c r="F77" s="220" t="s">
        <v>16</v>
      </c>
      <c r="G77" s="209">
        <v>21907489</v>
      </c>
      <c r="H77" s="559" t="s">
        <v>72</v>
      </c>
      <c r="I77" s="129" t="s">
        <v>166</v>
      </c>
      <c r="J77" s="184" t="s">
        <v>30</v>
      </c>
      <c r="K77" s="191" t="s">
        <v>240</v>
      </c>
      <c r="L77" s="193">
        <v>15000</v>
      </c>
      <c r="M77" s="317">
        <f t="shared" si="0"/>
        <v>15000</v>
      </c>
      <c r="N77" s="345">
        <v>15000</v>
      </c>
      <c r="O77" s="234"/>
      <c r="P77" s="356">
        <f>M77/L77</f>
        <v>1</v>
      </c>
      <c r="Q77" s="356">
        <f>M77/G77</f>
        <v>6.8469736536213709E-4</v>
      </c>
      <c r="R77" s="339" t="s">
        <v>609</v>
      </c>
      <c r="S77" s="378">
        <f t="shared" si="4"/>
        <v>0</v>
      </c>
      <c r="T77" s="5">
        <f t="shared" si="5"/>
        <v>0</v>
      </c>
    </row>
    <row r="78" spans="1:20" ht="45" x14ac:dyDescent="0.25">
      <c r="A78" s="919">
        <v>22</v>
      </c>
      <c r="B78" s="909" t="s">
        <v>4</v>
      </c>
      <c r="C78" s="911" t="s">
        <v>161</v>
      </c>
      <c r="D78" s="914" t="s">
        <v>677</v>
      </c>
      <c r="E78" s="910" t="s">
        <v>204</v>
      </c>
      <c r="F78" s="908" t="s">
        <v>10</v>
      </c>
      <c r="G78" s="802">
        <v>2279938.87</v>
      </c>
      <c r="H78" s="800" t="s">
        <v>505</v>
      </c>
      <c r="I78" s="789" t="s">
        <v>276</v>
      </c>
      <c r="J78" s="184" t="s">
        <v>140</v>
      </c>
      <c r="K78" s="810" t="s">
        <v>253</v>
      </c>
      <c r="L78" s="193">
        <v>82379</v>
      </c>
      <c r="M78" s="185">
        <f t="shared" si="0"/>
        <v>82379</v>
      </c>
      <c r="N78" s="345">
        <v>82379</v>
      </c>
      <c r="O78" s="143"/>
      <c r="P78" s="183">
        <f t="shared" si="1"/>
        <v>1</v>
      </c>
      <c r="Q78" s="786">
        <f>(M78+M79)/G78</f>
        <v>4.2461226164366414E-2</v>
      </c>
      <c r="R78" s="670" t="s">
        <v>610</v>
      </c>
      <c r="S78" s="378">
        <f t="shared" si="4"/>
        <v>0</v>
      </c>
      <c r="T78" s="5">
        <f t="shared" si="5"/>
        <v>0</v>
      </c>
    </row>
    <row r="79" spans="1:20" ht="87" x14ac:dyDescent="0.25">
      <c r="A79" s="919"/>
      <c r="B79" s="909"/>
      <c r="C79" s="909"/>
      <c r="D79" s="792"/>
      <c r="E79" s="910"/>
      <c r="F79" s="908"/>
      <c r="G79" s="803"/>
      <c r="H79" s="799"/>
      <c r="I79" s="789"/>
      <c r="J79" s="184" t="s">
        <v>154</v>
      </c>
      <c r="K79" s="811"/>
      <c r="L79" s="193">
        <v>82379</v>
      </c>
      <c r="M79" s="185">
        <f t="shared" si="0"/>
        <v>14430</v>
      </c>
      <c r="N79" s="345">
        <v>14430</v>
      </c>
      <c r="O79" s="143"/>
      <c r="P79" s="183">
        <f t="shared" si="1"/>
        <v>0.17516600104395538</v>
      </c>
      <c r="Q79" s="788"/>
      <c r="R79" s="670" t="s">
        <v>611</v>
      </c>
      <c r="S79" s="378">
        <f t="shared" si="4"/>
        <v>0.82483399895604459</v>
      </c>
      <c r="T79" s="5">
        <f t="shared" si="5"/>
        <v>67949</v>
      </c>
    </row>
    <row r="80" spans="1:20" ht="45" x14ac:dyDescent="0.25">
      <c r="A80" s="919">
        <v>23</v>
      </c>
      <c r="B80" s="909" t="s">
        <v>4</v>
      </c>
      <c r="C80" s="909" t="s">
        <v>162</v>
      </c>
      <c r="D80" s="914" t="s">
        <v>677</v>
      </c>
      <c r="E80" s="910" t="s">
        <v>205</v>
      </c>
      <c r="F80" s="908" t="s">
        <v>10</v>
      </c>
      <c r="G80" s="802">
        <v>593179</v>
      </c>
      <c r="H80" s="800" t="s">
        <v>505</v>
      </c>
      <c r="I80" s="789" t="s">
        <v>276</v>
      </c>
      <c r="J80" s="326" t="s">
        <v>140</v>
      </c>
      <c r="K80" s="810" t="s">
        <v>229</v>
      </c>
      <c r="L80" s="193">
        <v>12000</v>
      </c>
      <c r="M80" s="327">
        <f t="shared" si="0"/>
        <v>12000</v>
      </c>
      <c r="N80" s="345">
        <v>12000</v>
      </c>
      <c r="O80" s="143"/>
      <c r="P80" s="332">
        <f t="shared" si="1"/>
        <v>1</v>
      </c>
      <c r="Q80" s="786">
        <f>(M80+M81)/G80</f>
        <v>2.2531141527262429E-2</v>
      </c>
      <c r="R80" s="672" t="s">
        <v>612</v>
      </c>
      <c r="S80" s="378">
        <f t="shared" si="4"/>
        <v>0</v>
      </c>
      <c r="T80" s="5">
        <f t="shared" si="5"/>
        <v>0</v>
      </c>
    </row>
    <row r="81" spans="1:20" ht="87" x14ac:dyDescent="0.25">
      <c r="A81" s="919"/>
      <c r="B81" s="909"/>
      <c r="C81" s="909"/>
      <c r="D81" s="792"/>
      <c r="E81" s="910"/>
      <c r="F81" s="908"/>
      <c r="G81" s="803"/>
      <c r="H81" s="799"/>
      <c r="I81" s="789"/>
      <c r="J81" s="326" t="s">
        <v>154</v>
      </c>
      <c r="K81" s="811"/>
      <c r="L81" s="193">
        <v>12000</v>
      </c>
      <c r="M81" s="327">
        <f t="shared" si="0"/>
        <v>1365</v>
      </c>
      <c r="N81" s="345">
        <v>1365</v>
      </c>
      <c r="O81" s="143"/>
      <c r="P81" s="332">
        <f t="shared" si="1"/>
        <v>0.11375</v>
      </c>
      <c r="Q81" s="788"/>
      <c r="R81" s="672" t="s">
        <v>613</v>
      </c>
      <c r="S81" s="378">
        <f t="shared" si="4"/>
        <v>0.88624999999999998</v>
      </c>
      <c r="T81" s="5">
        <f t="shared" si="5"/>
        <v>10635</v>
      </c>
    </row>
    <row r="82" spans="1:20" ht="141" x14ac:dyDescent="0.25">
      <c r="A82" s="876">
        <v>24</v>
      </c>
      <c r="B82" s="922" t="s">
        <v>4</v>
      </c>
      <c r="C82" s="922" t="s">
        <v>340</v>
      </c>
      <c r="D82" s="914" t="s">
        <v>670</v>
      </c>
      <c r="E82" s="924" t="s">
        <v>437</v>
      </c>
      <c r="F82" s="920" t="s">
        <v>8</v>
      </c>
      <c r="G82" s="873">
        <v>4012156.19</v>
      </c>
      <c r="H82" s="794" t="s">
        <v>509</v>
      </c>
      <c r="I82" s="790" t="s">
        <v>375</v>
      </c>
      <c r="J82" s="336" t="s">
        <v>142</v>
      </c>
      <c r="K82" s="444" t="s">
        <v>343</v>
      </c>
      <c r="L82" s="337">
        <v>152732.25</v>
      </c>
      <c r="M82" s="338">
        <v>152732.25</v>
      </c>
      <c r="N82" s="257">
        <v>152732.25</v>
      </c>
      <c r="O82" s="334"/>
      <c r="P82" s="332">
        <f t="shared" si="1"/>
        <v>1</v>
      </c>
      <c r="Q82" s="325">
        <f>M82/G82</f>
        <v>3.8067373942388821E-2</v>
      </c>
      <c r="R82" s="673" t="s">
        <v>614</v>
      </c>
      <c r="S82" s="378">
        <f t="shared" si="4"/>
        <v>0</v>
      </c>
      <c r="T82" s="5">
        <f t="shared" si="5"/>
        <v>0</v>
      </c>
    </row>
    <row r="83" spans="1:20" ht="106.5" customHeight="1" x14ac:dyDescent="0.25">
      <c r="A83" s="785"/>
      <c r="B83" s="923"/>
      <c r="C83" s="923"/>
      <c r="D83" s="792"/>
      <c r="E83" s="925"/>
      <c r="F83" s="921"/>
      <c r="G83" s="847"/>
      <c r="H83" s="796"/>
      <c r="I83" s="793"/>
      <c r="J83" s="413" t="s">
        <v>142</v>
      </c>
      <c r="K83" s="414" t="s">
        <v>414</v>
      </c>
      <c r="L83" s="337">
        <v>1141.9000000000001</v>
      </c>
      <c r="M83" s="338">
        <v>1141.9000000000001</v>
      </c>
      <c r="N83" s="257">
        <v>1141.9000000000001</v>
      </c>
      <c r="O83" s="334"/>
      <c r="P83" s="332">
        <f t="shared" si="1"/>
        <v>1</v>
      </c>
      <c r="Q83" s="412">
        <f>M83/G82</f>
        <v>2.8461005651926033E-4</v>
      </c>
      <c r="R83" s="673" t="s">
        <v>615</v>
      </c>
      <c r="S83" s="378">
        <f t="shared" si="4"/>
        <v>0</v>
      </c>
      <c r="T83" s="5">
        <f t="shared" si="5"/>
        <v>0</v>
      </c>
    </row>
    <row r="84" spans="1:20" ht="192" x14ac:dyDescent="0.25">
      <c r="A84" s="324">
        <v>25</v>
      </c>
      <c r="B84" s="329" t="s">
        <v>4</v>
      </c>
      <c r="C84" s="567" t="s">
        <v>344</v>
      </c>
      <c r="D84" s="712" t="s">
        <v>674</v>
      </c>
      <c r="E84" s="365" t="s">
        <v>386</v>
      </c>
      <c r="F84" s="333" t="s">
        <v>28</v>
      </c>
      <c r="G84" s="328">
        <v>34371616</v>
      </c>
      <c r="H84" s="571" t="s">
        <v>72</v>
      </c>
      <c r="I84" s="214" t="s">
        <v>166</v>
      </c>
      <c r="J84" s="336" t="s">
        <v>342</v>
      </c>
      <c r="K84" s="352" t="s">
        <v>341</v>
      </c>
      <c r="L84" s="338">
        <v>75625</v>
      </c>
      <c r="M84" s="338">
        <v>75625</v>
      </c>
      <c r="N84" s="330"/>
      <c r="O84" s="331">
        <v>75625</v>
      </c>
      <c r="P84" s="332">
        <f>M84/L84</f>
        <v>1</v>
      </c>
      <c r="Q84" s="325">
        <f>M84/G84</f>
        <v>2.2002165973226281E-3</v>
      </c>
      <c r="R84" s="673" t="s">
        <v>616</v>
      </c>
      <c r="S84" s="378">
        <f t="shared" si="4"/>
        <v>0</v>
      </c>
      <c r="T84" s="5">
        <f t="shared" si="5"/>
        <v>0</v>
      </c>
    </row>
    <row r="85" spans="1:20" ht="224.25" customHeight="1" x14ac:dyDescent="0.25">
      <c r="A85" s="926">
        <v>26</v>
      </c>
      <c r="B85" s="927" t="s">
        <v>4</v>
      </c>
      <c r="C85" s="927" t="s">
        <v>345</v>
      </c>
      <c r="D85" s="914" t="s">
        <v>678</v>
      </c>
      <c r="E85" s="892" t="s">
        <v>468</v>
      </c>
      <c r="F85" s="894" t="s">
        <v>8</v>
      </c>
      <c r="G85" s="873">
        <v>40000000</v>
      </c>
      <c r="H85" s="794" t="s">
        <v>510</v>
      </c>
      <c r="I85" s="790" t="s">
        <v>376</v>
      </c>
      <c r="J85" s="898" t="s">
        <v>151</v>
      </c>
      <c r="K85" s="352" t="s">
        <v>360</v>
      </c>
      <c r="L85" s="338">
        <v>106552.6</v>
      </c>
      <c r="M85" s="338">
        <v>106552.6</v>
      </c>
      <c r="N85" s="403">
        <v>106552.6</v>
      </c>
      <c r="O85" s="391"/>
      <c r="P85" s="332">
        <f>M85/L85</f>
        <v>1</v>
      </c>
      <c r="Q85" s="786">
        <f>(M85+M86+M87+M88+M89+M90)/G85</f>
        <v>5.0362121250000003E-2</v>
      </c>
      <c r="R85" s="673" t="s">
        <v>617</v>
      </c>
      <c r="S85" s="378">
        <f t="shared" si="4"/>
        <v>0</v>
      </c>
      <c r="T85" s="5">
        <f t="shared" si="5"/>
        <v>0</v>
      </c>
    </row>
    <row r="86" spans="1:20" ht="228" x14ac:dyDescent="0.25">
      <c r="A86" s="879"/>
      <c r="B86" s="862"/>
      <c r="C86" s="931"/>
      <c r="D86" s="791"/>
      <c r="E86" s="893"/>
      <c r="F86" s="895"/>
      <c r="G86" s="874"/>
      <c r="H86" s="795"/>
      <c r="I86" s="896"/>
      <c r="J86" s="899"/>
      <c r="K86" s="352" t="s">
        <v>360</v>
      </c>
      <c r="L86" s="342">
        <v>29253.88</v>
      </c>
      <c r="M86" s="342">
        <v>29253.88</v>
      </c>
      <c r="N86" s="395">
        <v>29253.88</v>
      </c>
      <c r="O86" s="392"/>
      <c r="P86" s="332">
        <f>M86/L86</f>
        <v>1</v>
      </c>
      <c r="Q86" s="831"/>
      <c r="R86" s="673" t="s">
        <v>618</v>
      </c>
      <c r="S86" s="378">
        <f t="shared" si="4"/>
        <v>0</v>
      </c>
      <c r="T86" s="5">
        <f t="shared" si="5"/>
        <v>0</v>
      </c>
    </row>
    <row r="87" spans="1:20" ht="279" customHeight="1" x14ac:dyDescent="0.25">
      <c r="A87" s="879"/>
      <c r="B87" s="862"/>
      <c r="C87" s="931"/>
      <c r="D87" s="791"/>
      <c r="E87" s="893"/>
      <c r="F87" s="895"/>
      <c r="G87" s="874"/>
      <c r="H87" s="795"/>
      <c r="I87" s="896"/>
      <c r="J87" s="899"/>
      <c r="K87" s="352" t="s">
        <v>361</v>
      </c>
      <c r="L87" s="342">
        <v>593135.94999999995</v>
      </c>
      <c r="M87" s="342">
        <v>593135.94999999995</v>
      </c>
      <c r="N87" s="395">
        <v>593135.94999999995</v>
      </c>
      <c r="O87" s="392"/>
      <c r="P87" s="332">
        <f>M87/L87</f>
        <v>1</v>
      </c>
      <c r="Q87" s="831"/>
      <c r="R87" s="673" t="s">
        <v>619</v>
      </c>
      <c r="S87" s="378">
        <f t="shared" si="4"/>
        <v>0</v>
      </c>
      <c r="T87" s="5">
        <f t="shared" si="5"/>
        <v>0</v>
      </c>
    </row>
    <row r="88" spans="1:20" ht="271.5" customHeight="1" x14ac:dyDescent="0.25">
      <c r="A88" s="879"/>
      <c r="B88" s="862"/>
      <c r="C88" s="931"/>
      <c r="D88" s="791"/>
      <c r="E88" s="893"/>
      <c r="F88" s="895"/>
      <c r="G88" s="874"/>
      <c r="H88" s="795"/>
      <c r="I88" s="896"/>
      <c r="J88" s="899"/>
      <c r="K88" s="352" t="s">
        <v>360</v>
      </c>
      <c r="L88" s="342">
        <v>71182.179999999993</v>
      </c>
      <c r="M88" s="342">
        <v>71182.179999999993</v>
      </c>
      <c r="N88" s="395">
        <v>71182.179999999993</v>
      </c>
      <c r="O88" s="392"/>
      <c r="P88" s="332">
        <f>M88/L88</f>
        <v>1</v>
      </c>
      <c r="Q88" s="831"/>
      <c r="R88" s="673" t="s">
        <v>620</v>
      </c>
      <c r="S88" s="378">
        <f t="shared" si="4"/>
        <v>0</v>
      </c>
      <c r="T88" s="5">
        <f t="shared" si="5"/>
        <v>0</v>
      </c>
    </row>
    <row r="89" spans="1:20" ht="227.25" customHeight="1" x14ac:dyDescent="0.25">
      <c r="A89" s="879"/>
      <c r="B89" s="862"/>
      <c r="C89" s="931"/>
      <c r="D89" s="791"/>
      <c r="E89" s="893"/>
      <c r="F89" s="895"/>
      <c r="G89" s="874"/>
      <c r="H89" s="795"/>
      <c r="I89" s="896"/>
      <c r="J89" s="899"/>
      <c r="K89" s="353" t="s">
        <v>360</v>
      </c>
      <c r="L89" s="344">
        <v>482088.81</v>
      </c>
      <c r="M89" s="344">
        <v>482088.81</v>
      </c>
      <c r="N89" s="395">
        <v>482088.81</v>
      </c>
      <c r="O89" s="392"/>
      <c r="P89" s="343">
        <f t="shared" ref="P89:P110" si="7">M89/L89</f>
        <v>1</v>
      </c>
      <c r="Q89" s="831"/>
      <c r="R89" s="673" t="s">
        <v>621</v>
      </c>
      <c r="S89" s="378">
        <f t="shared" si="4"/>
        <v>0</v>
      </c>
      <c r="T89" s="5">
        <f t="shared" si="5"/>
        <v>0</v>
      </c>
    </row>
    <row r="90" spans="1:20" ht="168" x14ac:dyDescent="0.25">
      <c r="A90" s="784"/>
      <c r="B90" s="791"/>
      <c r="C90" s="791"/>
      <c r="D90" s="791"/>
      <c r="E90" s="791"/>
      <c r="F90" s="791"/>
      <c r="G90" s="851"/>
      <c r="H90" s="795"/>
      <c r="I90" s="896"/>
      <c r="J90" s="389"/>
      <c r="K90" s="394" t="s">
        <v>402</v>
      </c>
      <c r="L90" s="344">
        <v>732271.43</v>
      </c>
      <c r="M90" s="344">
        <v>732271.43</v>
      </c>
      <c r="N90" s="404">
        <v>732271.43</v>
      </c>
      <c r="O90" s="393"/>
      <c r="P90" s="388">
        <f t="shared" si="7"/>
        <v>1</v>
      </c>
      <c r="Q90" s="814"/>
      <c r="R90" s="673" t="s">
        <v>622</v>
      </c>
      <c r="S90" s="378">
        <f t="shared" si="4"/>
        <v>0</v>
      </c>
      <c r="T90" s="5">
        <f t="shared" si="5"/>
        <v>0</v>
      </c>
    </row>
    <row r="91" spans="1:20" ht="69" customHeight="1" x14ac:dyDescent="0.25">
      <c r="A91" s="784"/>
      <c r="B91" s="791"/>
      <c r="C91" s="791"/>
      <c r="D91" s="791"/>
      <c r="E91" s="791"/>
      <c r="F91" s="791"/>
      <c r="G91" s="851"/>
      <c r="H91" s="795"/>
      <c r="I91" s="896"/>
      <c r="J91" s="550" t="s">
        <v>411</v>
      </c>
      <c r="K91" s="552" t="s">
        <v>489</v>
      </c>
      <c r="L91" s="344">
        <v>0</v>
      </c>
      <c r="M91" s="344">
        <v>0</v>
      </c>
      <c r="N91" s="481">
        <v>0</v>
      </c>
      <c r="O91" s="393">
        <v>0</v>
      </c>
      <c r="P91" s="548">
        <v>0</v>
      </c>
      <c r="Q91" s="549"/>
      <c r="R91" s="551" t="s">
        <v>623</v>
      </c>
      <c r="S91" s="378" t="e">
        <f t="shared" si="4"/>
        <v>#DIV/0!</v>
      </c>
      <c r="T91" s="5">
        <f t="shared" si="5"/>
        <v>0</v>
      </c>
    </row>
    <row r="92" spans="1:20" ht="69.75" customHeight="1" x14ac:dyDescent="0.25">
      <c r="A92" s="785"/>
      <c r="B92" s="792"/>
      <c r="C92" s="792"/>
      <c r="D92" s="792"/>
      <c r="E92" s="792"/>
      <c r="F92" s="792"/>
      <c r="G92" s="847"/>
      <c r="H92" s="796"/>
      <c r="I92" s="897"/>
      <c r="J92" s="480" t="s">
        <v>411</v>
      </c>
      <c r="K92" s="482" t="s">
        <v>452</v>
      </c>
      <c r="L92" s="344">
        <v>0</v>
      </c>
      <c r="M92" s="344">
        <v>0</v>
      </c>
      <c r="N92" s="481">
        <v>0</v>
      </c>
      <c r="O92" s="393">
        <v>0</v>
      </c>
      <c r="P92" s="478">
        <v>0</v>
      </c>
      <c r="Q92" s="479"/>
      <c r="R92" s="673" t="s">
        <v>624</v>
      </c>
      <c r="S92" s="378" t="e">
        <f t="shared" si="4"/>
        <v>#DIV/0!</v>
      </c>
      <c r="T92" s="5">
        <f t="shared" si="5"/>
        <v>0</v>
      </c>
    </row>
    <row r="93" spans="1:20" ht="168" x14ac:dyDescent="0.25">
      <c r="A93" s="928">
        <v>27</v>
      </c>
      <c r="B93" s="929" t="s">
        <v>4</v>
      </c>
      <c r="C93" s="929" t="s">
        <v>348</v>
      </c>
      <c r="D93" s="912" t="s">
        <v>678</v>
      </c>
      <c r="E93" s="932" t="s">
        <v>469</v>
      </c>
      <c r="F93" s="894" t="s">
        <v>8</v>
      </c>
      <c r="G93" s="873">
        <v>36420736.979999997</v>
      </c>
      <c r="H93" s="794" t="s">
        <v>72</v>
      </c>
      <c r="I93" s="790" t="s">
        <v>203</v>
      </c>
      <c r="J93" s="351" t="s">
        <v>151</v>
      </c>
      <c r="K93" s="355" t="s">
        <v>363</v>
      </c>
      <c r="L93" s="210">
        <v>20570</v>
      </c>
      <c r="M93" s="210">
        <f>N93+O93</f>
        <v>2762.5</v>
      </c>
      <c r="N93" s="192">
        <v>2762.5</v>
      </c>
      <c r="O93" s="190"/>
      <c r="P93" s="332">
        <f t="shared" si="7"/>
        <v>0.13429752066115702</v>
      </c>
      <c r="Q93" s="332">
        <f>M93/G93</f>
        <v>7.584964580801847E-5</v>
      </c>
      <c r="R93" s="672" t="s">
        <v>625</v>
      </c>
      <c r="S93" s="378">
        <f t="shared" si="4"/>
        <v>0.86570247933884292</v>
      </c>
      <c r="T93" s="5">
        <f t="shared" si="5"/>
        <v>17807.5</v>
      </c>
    </row>
    <row r="94" spans="1:20" ht="139.5" customHeight="1" x14ac:dyDescent="0.25">
      <c r="A94" s="785"/>
      <c r="B94" s="891"/>
      <c r="C94" s="891"/>
      <c r="D94" s="891"/>
      <c r="E94" s="891"/>
      <c r="F94" s="792"/>
      <c r="G94" s="847"/>
      <c r="H94" s="796"/>
      <c r="I94" s="792"/>
      <c r="J94" s="669" t="s">
        <v>571</v>
      </c>
      <c r="K94" s="521" t="s">
        <v>470</v>
      </c>
      <c r="L94" s="210">
        <v>5932670.2699999996</v>
      </c>
      <c r="M94" s="210">
        <f>N94+O94</f>
        <v>5932670.2699999996</v>
      </c>
      <c r="N94" s="192">
        <v>5932670.2699999996</v>
      </c>
      <c r="O94" s="190"/>
      <c r="P94" s="332">
        <f t="shared" si="7"/>
        <v>1</v>
      </c>
      <c r="Q94" s="332">
        <f>M94/G93</f>
        <v>0.16289264748425747</v>
      </c>
      <c r="R94" s="672" t="s">
        <v>634</v>
      </c>
      <c r="S94" s="378"/>
      <c r="T94" s="5"/>
    </row>
    <row r="95" spans="1:20" ht="117" customHeight="1" x14ac:dyDescent="0.25">
      <c r="A95" s="928">
        <v>28</v>
      </c>
      <c r="B95" s="929" t="s">
        <v>4</v>
      </c>
      <c r="C95" s="875" t="s">
        <v>359</v>
      </c>
      <c r="D95" s="914" t="s">
        <v>678</v>
      </c>
      <c r="E95" s="930" t="s">
        <v>415</v>
      </c>
      <c r="F95" s="894" t="s">
        <v>8</v>
      </c>
      <c r="G95" s="873">
        <v>135462141.78</v>
      </c>
      <c r="H95" s="794" t="s">
        <v>72</v>
      </c>
      <c r="I95" s="790" t="s">
        <v>203</v>
      </c>
      <c r="J95" s="801" t="s">
        <v>495</v>
      </c>
      <c r="K95" s="363" t="s">
        <v>370</v>
      </c>
      <c r="L95" s="210">
        <v>344617.16</v>
      </c>
      <c r="M95" s="210">
        <v>344617.16</v>
      </c>
      <c r="N95" s="192">
        <v>344617.16</v>
      </c>
      <c r="O95" s="190"/>
      <c r="P95" s="332">
        <f t="shared" si="7"/>
        <v>1</v>
      </c>
      <c r="Q95" s="786">
        <f>(M95+M96)/G95</f>
        <v>1.5679430223755616E-2</v>
      </c>
      <c r="R95" s="672" t="s">
        <v>626</v>
      </c>
      <c r="S95" s="378">
        <f t="shared" si="4"/>
        <v>0</v>
      </c>
      <c r="T95" s="5">
        <f t="shared" si="5"/>
        <v>0</v>
      </c>
    </row>
    <row r="96" spans="1:20" ht="157.5" customHeight="1" x14ac:dyDescent="0.25">
      <c r="A96" s="784"/>
      <c r="B96" s="913"/>
      <c r="C96" s="791"/>
      <c r="D96" s="791"/>
      <c r="E96" s="791"/>
      <c r="F96" s="791"/>
      <c r="G96" s="851"/>
      <c r="H96" s="795"/>
      <c r="I96" s="791"/>
      <c r="J96" s="791"/>
      <c r="K96" s="420" t="s">
        <v>406</v>
      </c>
      <c r="L96" s="421">
        <v>1779352.04</v>
      </c>
      <c r="M96" s="421">
        <v>1779352.04</v>
      </c>
      <c r="N96" s="405">
        <v>1779352.04</v>
      </c>
      <c r="O96" s="422"/>
      <c r="P96" s="419">
        <f t="shared" si="7"/>
        <v>1</v>
      </c>
      <c r="Q96" s="787"/>
      <c r="R96" s="674" t="s">
        <v>627</v>
      </c>
      <c r="S96" s="400">
        <f t="shared" si="4"/>
        <v>0</v>
      </c>
      <c r="T96" s="37">
        <f t="shared" si="5"/>
        <v>0</v>
      </c>
    </row>
    <row r="97" spans="1:20" ht="153" customHeight="1" x14ac:dyDescent="0.25">
      <c r="A97" s="784"/>
      <c r="B97" s="913"/>
      <c r="C97" s="791"/>
      <c r="D97" s="791"/>
      <c r="E97" s="791"/>
      <c r="F97" s="791"/>
      <c r="G97" s="851"/>
      <c r="H97" s="795"/>
      <c r="I97" s="791"/>
      <c r="J97" s="522" t="s">
        <v>139</v>
      </c>
      <c r="K97" s="545" t="s">
        <v>479</v>
      </c>
      <c r="L97" s="456">
        <v>23435162.289999999</v>
      </c>
      <c r="M97" s="456">
        <f>SUM(N97+O97)</f>
        <v>23435162.289999999</v>
      </c>
      <c r="N97" s="436">
        <v>19367902.710000001</v>
      </c>
      <c r="O97" s="424">
        <v>4067259.58</v>
      </c>
      <c r="P97" s="425">
        <f t="shared" si="7"/>
        <v>1</v>
      </c>
      <c r="Q97" s="547">
        <f>M97/G95</f>
        <v>0.17300156325639929</v>
      </c>
      <c r="R97" s="675" t="s">
        <v>635</v>
      </c>
      <c r="S97" s="400">
        <f t="shared" si="4"/>
        <v>0</v>
      </c>
      <c r="T97" s="37">
        <f t="shared" si="5"/>
        <v>0</v>
      </c>
    </row>
    <row r="98" spans="1:20" ht="129" customHeight="1" x14ac:dyDescent="0.25">
      <c r="A98" s="785"/>
      <c r="B98" s="891"/>
      <c r="C98" s="792"/>
      <c r="D98" s="792"/>
      <c r="E98" s="792"/>
      <c r="F98" s="792"/>
      <c r="G98" s="847"/>
      <c r="H98" s="796"/>
      <c r="I98" s="792"/>
      <c r="J98" s="522" t="s">
        <v>411</v>
      </c>
      <c r="K98" s="519" t="s">
        <v>461</v>
      </c>
      <c r="L98" s="456">
        <v>0</v>
      </c>
      <c r="M98" s="456">
        <v>0</v>
      </c>
      <c r="N98" s="436">
        <v>0</v>
      </c>
      <c r="O98" s="424"/>
      <c r="P98" s="425">
        <v>0</v>
      </c>
      <c r="Q98" s="4"/>
      <c r="R98" s="675" t="s">
        <v>628</v>
      </c>
      <c r="S98" s="400" t="e">
        <f t="shared" si="4"/>
        <v>#DIV/0!</v>
      </c>
      <c r="T98" s="37">
        <f t="shared" si="5"/>
        <v>0</v>
      </c>
    </row>
    <row r="99" spans="1:20" ht="104.25" customHeight="1" x14ac:dyDescent="0.25">
      <c r="A99" s="423">
        <v>29</v>
      </c>
      <c r="B99" s="11" t="s">
        <v>4</v>
      </c>
      <c r="C99" s="437" t="s">
        <v>431</v>
      </c>
      <c r="D99" s="437" t="s">
        <v>677</v>
      </c>
      <c r="E99" s="454" t="s">
        <v>432</v>
      </c>
      <c r="F99" s="438" t="s">
        <v>427</v>
      </c>
      <c r="G99" s="439">
        <v>1749549.32</v>
      </c>
      <c r="H99" s="570" t="s">
        <v>526</v>
      </c>
      <c r="I99" s="446" t="s">
        <v>203</v>
      </c>
      <c r="J99" s="446" t="s">
        <v>433</v>
      </c>
      <c r="K99" s="523" t="s">
        <v>471</v>
      </c>
      <c r="L99" s="445">
        <v>40274.5</v>
      </c>
      <c r="M99" s="445">
        <v>40274.5</v>
      </c>
      <c r="N99" s="435">
        <v>40274.5</v>
      </c>
      <c r="O99" s="424"/>
      <c r="P99" s="425">
        <f t="shared" si="7"/>
        <v>1</v>
      </c>
      <c r="Q99" s="542">
        <f>M99/G99</f>
        <v>2.3019928355034882E-2</v>
      </c>
      <c r="R99" s="672" t="s">
        <v>629</v>
      </c>
      <c r="S99" s="400">
        <f t="shared" si="4"/>
        <v>0</v>
      </c>
      <c r="T99" s="37">
        <f t="shared" si="5"/>
        <v>0</v>
      </c>
    </row>
    <row r="100" spans="1:20" ht="75" customHeight="1" x14ac:dyDescent="0.25">
      <c r="A100" s="423">
        <v>30</v>
      </c>
      <c r="B100" s="11" t="s">
        <v>4</v>
      </c>
      <c r="C100" s="510" t="s">
        <v>457</v>
      </c>
      <c r="D100" s="437" t="s">
        <v>675</v>
      </c>
      <c r="E100" s="511" t="s">
        <v>458</v>
      </c>
      <c r="F100" s="512" t="s">
        <v>23</v>
      </c>
      <c r="G100" s="439">
        <v>371369</v>
      </c>
      <c r="H100" s="570" t="s">
        <v>527</v>
      </c>
      <c r="I100" s="509" t="s">
        <v>528</v>
      </c>
      <c r="J100" s="513" t="s">
        <v>429</v>
      </c>
      <c r="K100" s="514" t="s">
        <v>459</v>
      </c>
      <c r="L100" s="515" t="s">
        <v>460</v>
      </c>
      <c r="M100" s="456"/>
      <c r="N100" s="436"/>
      <c r="O100" s="424"/>
      <c r="P100" s="425"/>
      <c r="Q100" s="542"/>
      <c r="R100" s="563" t="s">
        <v>523</v>
      </c>
      <c r="S100" s="400"/>
      <c r="T100" s="37"/>
    </row>
    <row r="101" spans="1:20" ht="99" customHeight="1" x14ac:dyDescent="0.25">
      <c r="A101" s="423">
        <v>31</v>
      </c>
      <c r="B101" s="11" t="s">
        <v>4</v>
      </c>
      <c r="C101" s="437" t="s">
        <v>476</v>
      </c>
      <c r="D101" s="510" t="s">
        <v>671</v>
      </c>
      <c r="E101" s="555" t="s">
        <v>496</v>
      </c>
      <c r="F101" s="541" t="s">
        <v>8</v>
      </c>
      <c r="G101" s="439">
        <v>99892339.069999993</v>
      </c>
      <c r="H101" s="570" t="s">
        <v>72</v>
      </c>
      <c r="I101" s="540" t="s">
        <v>165</v>
      </c>
      <c r="J101" s="540" t="s">
        <v>497</v>
      </c>
      <c r="K101" s="557" t="s">
        <v>498</v>
      </c>
      <c r="L101" s="515">
        <v>0</v>
      </c>
      <c r="M101" s="456">
        <v>0</v>
      </c>
      <c r="N101" s="556">
        <v>0</v>
      </c>
      <c r="O101" s="424">
        <v>0</v>
      </c>
      <c r="P101" s="425">
        <v>0</v>
      </c>
      <c r="Q101" s="542"/>
      <c r="R101" s="563" t="s">
        <v>524</v>
      </c>
      <c r="S101" s="400"/>
      <c r="T101" s="37"/>
    </row>
    <row r="102" spans="1:20" ht="75" customHeight="1" x14ac:dyDescent="0.25">
      <c r="A102" s="423">
        <v>32</v>
      </c>
      <c r="B102" s="11" t="s">
        <v>4</v>
      </c>
      <c r="C102" s="437" t="s">
        <v>490</v>
      </c>
      <c r="D102" s="510" t="s">
        <v>674</v>
      </c>
      <c r="E102" s="11" t="s">
        <v>493</v>
      </c>
      <c r="F102" s="554" t="s">
        <v>491</v>
      </c>
      <c r="G102" s="439">
        <v>10453725</v>
      </c>
      <c r="H102" s="570" t="s">
        <v>72</v>
      </c>
      <c r="I102" s="553" t="s">
        <v>166</v>
      </c>
      <c r="J102" s="553" t="s">
        <v>429</v>
      </c>
      <c r="K102" s="554" t="s">
        <v>492</v>
      </c>
      <c r="L102" s="515">
        <v>38720</v>
      </c>
      <c r="M102" s="456">
        <v>0</v>
      </c>
      <c r="N102" s="436"/>
      <c r="O102" s="424">
        <v>0</v>
      </c>
      <c r="P102" s="425">
        <f t="shared" si="7"/>
        <v>0</v>
      </c>
      <c r="Q102" s="542">
        <f t="shared" ref="Q102:Q104" si="8">M102/G102</f>
        <v>0</v>
      </c>
      <c r="R102" s="563" t="s">
        <v>525</v>
      </c>
      <c r="S102" s="400"/>
      <c r="T102" s="37"/>
    </row>
    <row r="103" spans="1:20" ht="75" customHeight="1" x14ac:dyDescent="0.25">
      <c r="A103" s="423">
        <v>33</v>
      </c>
      <c r="B103" s="11" t="s">
        <v>4</v>
      </c>
      <c r="C103" s="713" t="s">
        <v>685</v>
      </c>
      <c r="D103" s="510" t="s">
        <v>672</v>
      </c>
      <c r="E103" s="423">
        <v>2014</v>
      </c>
      <c r="F103" s="719" t="s">
        <v>687</v>
      </c>
      <c r="G103" s="439">
        <v>5494071</v>
      </c>
      <c r="H103" s="570" t="s">
        <v>506</v>
      </c>
      <c r="I103" s="716" t="s">
        <v>167</v>
      </c>
      <c r="J103" s="716" t="s">
        <v>690</v>
      </c>
      <c r="K103" s="719" t="s">
        <v>688</v>
      </c>
      <c r="L103" s="515">
        <v>109471</v>
      </c>
      <c r="M103" s="456">
        <v>109471</v>
      </c>
      <c r="N103" s="436"/>
      <c r="O103" s="424">
        <v>109471</v>
      </c>
      <c r="P103" s="425">
        <f t="shared" si="7"/>
        <v>1</v>
      </c>
      <c r="Q103" s="542">
        <f t="shared" si="8"/>
        <v>1.992529765268778E-2</v>
      </c>
      <c r="R103" s="720" t="s">
        <v>689</v>
      </c>
      <c r="S103" s="400"/>
      <c r="T103" s="37"/>
    </row>
    <row r="104" spans="1:20" ht="75" customHeight="1" x14ac:dyDescent="0.25">
      <c r="A104" s="423">
        <v>34</v>
      </c>
      <c r="B104" s="11" t="s">
        <v>4</v>
      </c>
      <c r="C104" s="717" t="s">
        <v>686</v>
      </c>
      <c r="D104" s="510" t="s">
        <v>672</v>
      </c>
      <c r="E104" s="423">
        <v>2014</v>
      </c>
      <c r="F104" s="719" t="s">
        <v>687</v>
      </c>
      <c r="G104" s="439">
        <v>1671074</v>
      </c>
      <c r="H104" s="570" t="s">
        <v>506</v>
      </c>
      <c r="I104" s="716" t="s">
        <v>167</v>
      </c>
      <c r="J104" s="716" t="s">
        <v>690</v>
      </c>
      <c r="K104" s="719" t="s">
        <v>688</v>
      </c>
      <c r="L104" s="515">
        <v>129560</v>
      </c>
      <c r="M104" s="456">
        <v>129560</v>
      </c>
      <c r="N104" s="436"/>
      <c r="O104" s="424">
        <v>129560</v>
      </c>
      <c r="P104" s="425">
        <f t="shared" si="7"/>
        <v>1</v>
      </c>
      <c r="Q104" s="542">
        <f t="shared" si="8"/>
        <v>7.7530977084198552E-2</v>
      </c>
      <c r="R104" s="720" t="s">
        <v>689</v>
      </c>
      <c r="S104" s="400"/>
      <c r="T104" s="37"/>
    </row>
    <row r="105" spans="1:20" ht="79.5" customHeight="1" x14ac:dyDescent="0.25">
      <c r="A105" s="423" t="s">
        <v>424</v>
      </c>
      <c r="B105" s="11" t="s">
        <v>4</v>
      </c>
      <c r="C105" s="713" t="s">
        <v>422</v>
      </c>
      <c r="D105" s="430" t="s">
        <v>672</v>
      </c>
      <c r="E105" s="446" t="s">
        <v>425</v>
      </c>
      <c r="F105" s="446" t="s">
        <v>427</v>
      </c>
      <c r="G105" s="455">
        <v>2478282.9</v>
      </c>
      <c r="H105" s="570" t="s">
        <v>506</v>
      </c>
      <c r="I105" s="446" t="s">
        <v>167</v>
      </c>
      <c r="J105" s="446" t="s">
        <v>429</v>
      </c>
      <c r="K105" s="443" t="s">
        <v>438</v>
      </c>
      <c r="L105" s="445">
        <v>206894.19</v>
      </c>
      <c r="M105" s="445">
        <v>206894.19</v>
      </c>
      <c r="N105" s="435">
        <v>206894.19</v>
      </c>
      <c r="O105" s="424"/>
      <c r="P105" s="425">
        <f t="shared" si="7"/>
        <v>1</v>
      </c>
      <c r="Q105" s="542">
        <f>M105/G105</f>
        <v>8.3482878407465114E-2</v>
      </c>
      <c r="R105" s="672" t="s">
        <v>630</v>
      </c>
      <c r="S105" s="400">
        <f t="shared" si="4"/>
        <v>0</v>
      </c>
      <c r="T105" s="37">
        <f t="shared" si="5"/>
        <v>0</v>
      </c>
    </row>
    <row r="106" spans="1:20" ht="139.5" customHeight="1" x14ac:dyDescent="0.25">
      <c r="A106" s="462" t="s">
        <v>424</v>
      </c>
      <c r="B106" s="463" t="s">
        <v>4</v>
      </c>
      <c r="C106" s="713" t="s">
        <v>423</v>
      </c>
      <c r="D106" s="713" t="s">
        <v>672</v>
      </c>
      <c r="E106" s="459" t="s">
        <v>426</v>
      </c>
      <c r="F106" s="458" t="s">
        <v>427</v>
      </c>
      <c r="G106" s="464">
        <v>1301000</v>
      </c>
      <c r="H106" s="570" t="s">
        <v>506</v>
      </c>
      <c r="I106" s="458" t="s">
        <v>167</v>
      </c>
      <c r="J106" s="458" t="s">
        <v>429</v>
      </c>
      <c r="K106" s="465" t="s">
        <v>430</v>
      </c>
      <c r="L106" s="457">
        <v>13528.35</v>
      </c>
      <c r="M106" s="457">
        <v>13528.35</v>
      </c>
      <c r="N106" s="466">
        <v>13528.35</v>
      </c>
      <c r="O106" s="467"/>
      <c r="P106" s="468">
        <f t="shared" si="7"/>
        <v>1</v>
      </c>
      <c r="Q106" s="542">
        <f>M106/G106</f>
        <v>1.0398424289008456E-2</v>
      </c>
      <c r="R106" s="674" t="s">
        <v>631</v>
      </c>
      <c r="S106" s="400">
        <f t="shared" si="4"/>
        <v>0</v>
      </c>
      <c r="T106" s="37">
        <f t="shared" si="5"/>
        <v>0</v>
      </c>
    </row>
    <row r="107" spans="1:20" ht="173.25" customHeight="1" x14ac:dyDescent="0.25">
      <c r="A107" s="943" t="s">
        <v>424</v>
      </c>
      <c r="B107" s="945" t="s">
        <v>4</v>
      </c>
      <c r="C107" s="946" t="s">
        <v>445</v>
      </c>
      <c r="D107" s="946" t="s">
        <v>672</v>
      </c>
      <c r="E107" s="949" t="s">
        <v>446</v>
      </c>
      <c r="F107" s="918" t="s">
        <v>444</v>
      </c>
      <c r="G107" s="915">
        <v>106386773</v>
      </c>
      <c r="H107" s="783" t="s">
        <v>505</v>
      </c>
      <c r="I107" s="918" t="s">
        <v>450</v>
      </c>
      <c r="J107" s="475" t="s">
        <v>448</v>
      </c>
      <c r="K107" s="476" t="s">
        <v>449</v>
      </c>
      <c r="L107" s="456">
        <v>534795</v>
      </c>
      <c r="M107" s="456">
        <v>534795</v>
      </c>
      <c r="N107" s="435"/>
      <c r="O107" s="424">
        <v>534795</v>
      </c>
      <c r="P107" s="425">
        <f t="shared" si="7"/>
        <v>1</v>
      </c>
      <c r="Q107" s="542">
        <f>M107/G107</f>
        <v>5.0268937098035676E-3</v>
      </c>
      <c r="R107" s="562" t="s">
        <v>453</v>
      </c>
      <c r="S107" s="400">
        <f t="shared" si="4"/>
        <v>0</v>
      </c>
      <c r="T107" s="37">
        <f t="shared" si="5"/>
        <v>0</v>
      </c>
    </row>
    <row r="108" spans="1:20" ht="89.25" customHeight="1" x14ac:dyDescent="0.25">
      <c r="A108" s="784"/>
      <c r="B108" s="913"/>
      <c r="C108" s="947"/>
      <c r="D108" s="791"/>
      <c r="E108" s="950"/>
      <c r="F108" s="791"/>
      <c r="G108" s="916"/>
      <c r="H108" s="784"/>
      <c r="I108" s="791"/>
      <c r="J108" s="475" t="s">
        <v>448</v>
      </c>
      <c r="K108" s="476" t="s">
        <v>449</v>
      </c>
      <c r="L108" s="456">
        <v>165444.20000000001</v>
      </c>
      <c r="M108" s="456">
        <v>165444.20000000001</v>
      </c>
      <c r="N108" s="435"/>
      <c r="O108" s="424">
        <v>165444.20000000001</v>
      </c>
      <c r="P108" s="425">
        <f t="shared" si="7"/>
        <v>1</v>
      </c>
      <c r="Q108" s="542">
        <f>M108/G107*100</f>
        <v>0.15551200147785291</v>
      </c>
      <c r="R108" s="675" t="s">
        <v>632</v>
      </c>
      <c r="S108" s="400">
        <f t="shared" si="4"/>
        <v>0</v>
      </c>
      <c r="T108" s="37">
        <f t="shared" si="5"/>
        <v>0</v>
      </c>
    </row>
    <row r="109" spans="1:20" ht="102" customHeight="1" thickBot="1" x14ac:dyDescent="0.3">
      <c r="A109" s="785"/>
      <c r="B109" s="891"/>
      <c r="C109" s="948"/>
      <c r="D109" s="792"/>
      <c r="E109" s="951"/>
      <c r="F109" s="792"/>
      <c r="G109" s="917"/>
      <c r="H109" s="785"/>
      <c r="I109" s="792"/>
      <c r="J109" s="475" t="s">
        <v>448</v>
      </c>
      <c r="K109" s="476" t="s">
        <v>449</v>
      </c>
      <c r="L109" s="456">
        <v>134481.56</v>
      </c>
      <c r="M109" s="456">
        <v>134481.56</v>
      </c>
      <c r="N109" s="435"/>
      <c r="O109" s="424">
        <v>134481.56</v>
      </c>
      <c r="P109" s="425">
        <f t="shared" si="7"/>
        <v>1</v>
      </c>
      <c r="Q109" s="542">
        <f>M109/G107*100</f>
        <v>0.12640815790135868</v>
      </c>
      <c r="R109" s="675" t="s">
        <v>633</v>
      </c>
      <c r="S109" s="400">
        <f t="shared" si="4"/>
        <v>0</v>
      </c>
      <c r="T109" s="37">
        <f t="shared" si="5"/>
        <v>0</v>
      </c>
    </row>
    <row r="110" spans="1:20" ht="32.25" customHeight="1" thickBot="1" x14ac:dyDescent="0.3">
      <c r="A110" s="940" t="s">
        <v>129</v>
      </c>
      <c r="B110" s="941"/>
      <c r="C110" s="941"/>
      <c r="D110" s="941"/>
      <c r="E110" s="941"/>
      <c r="F110" s="942"/>
      <c r="G110" s="426">
        <f>SUM(G5:G109)</f>
        <v>1436802032.23</v>
      </c>
      <c r="H110" s="426"/>
      <c r="I110" s="427"/>
      <c r="J110" s="428"/>
      <c r="K110" s="429"/>
      <c r="L110" s="449">
        <f>SUM(L5:L109)</f>
        <v>254572102.98999995</v>
      </c>
      <c r="M110" s="450">
        <f>SUM(M5:M109)</f>
        <v>146024356.58999997</v>
      </c>
      <c r="N110" s="451">
        <f>SUM(N5:N109)</f>
        <v>118365469.20000002</v>
      </c>
      <c r="O110" s="452">
        <f>SUM(O5:O109)</f>
        <v>27658887.389999993</v>
      </c>
      <c r="P110" s="453">
        <f t="shared" si="7"/>
        <v>0.57360706406913753</v>
      </c>
      <c r="Q110" s="453">
        <f>M110/G110</f>
        <v>0.10163150755247868</v>
      </c>
      <c r="R110" s="564" t="s">
        <v>211</v>
      </c>
      <c r="S110" s="221">
        <f>T110/L110</f>
        <v>0.42639293593086247</v>
      </c>
      <c r="T110" s="335">
        <f>L110-M110</f>
        <v>108547746.39999998</v>
      </c>
    </row>
    <row r="111" spans="1:20" ht="28.5" customHeight="1" x14ac:dyDescent="0.25">
      <c r="A111" s="222"/>
      <c r="B111" s="247" t="s">
        <v>157</v>
      </c>
      <c r="C111" s="944" t="s">
        <v>226</v>
      </c>
      <c r="D111" s="944"/>
      <c r="E111" s="944"/>
      <c r="F111" s="944"/>
      <c r="G111" s="248"/>
      <c r="H111" s="248"/>
      <c r="I111" s="249"/>
      <c r="J111" s="249"/>
      <c r="K111" s="250"/>
      <c r="L111" s="309" t="s">
        <v>211</v>
      </c>
      <c r="M111" s="223" t="s">
        <v>211</v>
      </c>
      <c r="N111" s="224">
        <f>N5+N6+N8+N10+N11+N12+N13+N14+N15+N16+N17+N18+N19+N20+N21+N22+N23+N28+N30+N31+N32+N33+N34+N35+N36+N38+N39+N46+N47+N56+N57+N59+N62+N63+N69+N71+N72+N73+N77+N78+N79+N80+N81+N82+N83+N99+N105+N106</f>
        <v>12935874.379999999</v>
      </c>
      <c r="O111" s="225" t="s">
        <v>211</v>
      </c>
      <c r="P111" s="226" t="s">
        <v>211</v>
      </c>
      <c r="Q111" s="226" t="s">
        <v>211</v>
      </c>
      <c r="R111" s="565" t="s">
        <v>211</v>
      </c>
      <c r="S111" s="252" t="s">
        <v>211</v>
      </c>
      <c r="T111" s="252" t="s">
        <v>211</v>
      </c>
    </row>
    <row r="112" spans="1:20" ht="27" customHeight="1" x14ac:dyDescent="0.25">
      <c r="A112" s="222"/>
      <c r="B112" s="311" t="s">
        <v>157</v>
      </c>
      <c r="C112" s="933" t="s">
        <v>330</v>
      </c>
      <c r="D112" s="933"/>
      <c r="E112" s="933"/>
      <c r="F112" s="933"/>
      <c r="G112" s="933"/>
      <c r="H112" s="933"/>
      <c r="I112" s="933"/>
      <c r="J112" s="933"/>
      <c r="K112" s="934"/>
      <c r="L112" s="310" t="s">
        <v>211</v>
      </c>
      <c r="M112" s="227" t="s">
        <v>211</v>
      </c>
      <c r="N112" s="228">
        <f>N40+N41+N42+N45+N50+N52+N58+N65+N67+N85+N86+N87+N88+N89+N90+N93+N94+N95+N96+N97</f>
        <v>105429594.82000002</v>
      </c>
      <c r="O112" s="229">
        <f>O110</f>
        <v>27658887.389999993</v>
      </c>
      <c r="P112" s="230" t="s">
        <v>211</v>
      </c>
      <c r="Q112" s="230" t="s">
        <v>211</v>
      </c>
      <c r="R112" s="566" t="s">
        <v>211</v>
      </c>
      <c r="S112" s="253" t="s">
        <v>211</v>
      </c>
      <c r="T112" s="253" t="s">
        <v>211</v>
      </c>
    </row>
    <row r="113" spans="1:18" x14ac:dyDescent="0.25">
      <c r="A113" s="66"/>
      <c r="B113" s="158"/>
      <c r="C113" s="71"/>
      <c r="D113" s="71"/>
      <c r="E113" s="68"/>
      <c r="F113" s="159"/>
      <c r="G113" s="159"/>
      <c r="H113" s="159"/>
      <c r="I113" s="159"/>
      <c r="J113" s="159"/>
      <c r="K113" s="159"/>
      <c r="L113" s="159"/>
      <c r="M113" s="159"/>
      <c r="N113" s="160"/>
      <c r="O113" s="71"/>
      <c r="P113" s="71"/>
      <c r="Q113" s="71"/>
    </row>
    <row r="114" spans="1:18" x14ac:dyDescent="0.25">
      <c r="A114" s="66"/>
      <c r="B114" s="161"/>
      <c r="C114" s="154"/>
      <c r="D114" s="154"/>
      <c r="E114" s="58"/>
      <c r="F114" s="162"/>
      <c r="G114" s="162"/>
      <c r="H114" s="162"/>
      <c r="I114" s="162"/>
      <c r="J114" s="162"/>
      <c r="K114" s="162"/>
      <c r="L114" s="162"/>
      <c r="M114" s="162"/>
      <c r="N114" s="160"/>
      <c r="O114" s="71"/>
      <c r="P114" s="71"/>
      <c r="Q114" s="71"/>
    </row>
    <row r="115" spans="1:18" x14ac:dyDescent="0.25">
      <c r="A115" s="66"/>
      <c r="B115" s="161"/>
      <c r="C115" s="154"/>
      <c r="D115" s="154"/>
      <c r="E115" s="58"/>
      <c r="F115" s="162"/>
      <c r="G115" s="162"/>
      <c r="H115" s="162"/>
      <c r="I115" s="162"/>
      <c r="J115" s="162"/>
      <c r="K115" s="162"/>
      <c r="L115" s="163"/>
      <c r="M115" s="163"/>
      <c r="N115" s="160"/>
      <c r="O115" s="71"/>
      <c r="P115" s="172"/>
      <c r="Q115" s="172"/>
    </row>
    <row r="116" spans="1:18" x14ac:dyDescent="0.25">
      <c r="A116" s="66"/>
      <c r="B116" s="161"/>
      <c r="C116" s="155"/>
      <c r="D116" s="155"/>
      <c r="E116" s="58"/>
      <c r="F116" s="162"/>
      <c r="G116" s="162"/>
      <c r="H116" s="162"/>
      <c r="I116" s="162"/>
      <c r="J116" s="162"/>
      <c r="K116" s="162"/>
      <c r="L116" s="162"/>
      <c r="M116" s="163"/>
      <c r="N116" s="160"/>
      <c r="O116" s="71"/>
      <c r="P116" s="71"/>
      <c r="Q116" s="71"/>
    </row>
    <row r="117" spans="1:18" x14ac:dyDescent="0.25">
      <c r="A117" s="17"/>
      <c r="B117" s="148"/>
      <c r="C117" s="154"/>
      <c r="D117" s="154"/>
      <c r="E117" s="148"/>
      <c r="F117" s="156"/>
      <c r="G117" s="156"/>
      <c r="H117" s="156"/>
      <c r="I117" s="156"/>
      <c r="J117" s="156"/>
      <c r="K117" s="156"/>
      <c r="L117" s="156"/>
      <c r="M117" s="156"/>
      <c r="N117" s="20"/>
      <c r="O117" s="21"/>
      <c r="P117" s="21"/>
      <c r="Q117" s="21"/>
    </row>
    <row r="118" spans="1:18" x14ac:dyDescent="0.25">
      <c r="A118" s="17"/>
      <c r="B118" s="150"/>
      <c r="C118" s="148"/>
      <c r="D118" s="148"/>
      <c r="E118" s="148"/>
      <c r="F118" s="156"/>
      <c r="G118" s="156"/>
      <c r="H118" s="156"/>
      <c r="I118" s="156"/>
      <c r="J118" s="156"/>
      <c r="K118" s="156"/>
      <c r="L118" s="156"/>
      <c r="M118" s="156"/>
      <c r="N118" s="20"/>
      <c r="O118" s="21"/>
      <c r="P118" s="21"/>
      <c r="Q118" s="21"/>
    </row>
    <row r="119" spans="1:18" x14ac:dyDescent="0.25">
      <c r="A119" s="22"/>
      <c r="B119" s="151"/>
      <c r="C119" s="58"/>
      <c r="D119" s="58"/>
      <c r="E119" s="149"/>
      <c r="F119" s="149"/>
      <c r="G119" s="149"/>
      <c r="H119" s="149"/>
      <c r="I119" s="149"/>
      <c r="J119" s="149"/>
      <c r="K119" s="149"/>
      <c r="L119" s="149"/>
      <c r="M119" s="149"/>
      <c r="O119" s="21"/>
      <c r="P119" s="21"/>
      <c r="Q119" s="21"/>
    </row>
    <row r="120" spans="1:18" x14ac:dyDescent="0.25">
      <c r="A120" s="22"/>
      <c r="B120" s="151"/>
      <c r="C120" s="58"/>
      <c r="D120" s="58"/>
      <c r="E120" s="149"/>
      <c r="F120" s="149"/>
      <c r="G120" s="149"/>
      <c r="H120" s="149"/>
      <c r="I120" s="149"/>
      <c r="J120" s="149"/>
      <c r="K120" s="149"/>
      <c r="L120" s="149"/>
      <c r="M120" s="149"/>
      <c r="N120" s="21"/>
      <c r="O120" s="21"/>
      <c r="P120" s="21"/>
      <c r="Q120" s="21"/>
    </row>
    <row r="121" spans="1:18" x14ac:dyDescent="0.25">
      <c r="A121" s="22"/>
      <c r="B121" s="24"/>
      <c r="C121" s="58"/>
      <c r="D121" s="58"/>
      <c r="E121" s="149"/>
      <c r="F121" s="149"/>
      <c r="G121" s="149"/>
      <c r="H121" s="149"/>
      <c r="I121" s="149"/>
      <c r="J121" s="149"/>
      <c r="K121" s="149"/>
      <c r="L121" s="149"/>
      <c r="M121" s="149"/>
      <c r="N121" s="21"/>
      <c r="O121" s="21"/>
      <c r="P121" s="21"/>
      <c r="Q121" s="21"/>
    </row>
    <row r="122" spans="1:18" x14ac:dyDescent="0.25">
      <c r="A122" s="22"/>
      <c r="B122" s="24"/>
      <c r="C122" s="58"/>
      <c r="D122" s="58"/>
      <c r="E122" s="149"/>
      <c r="F122" s="149"/>
      <c r="G122" s="149"/>
      <c r="H122" s="149"/>
      <c r="I122" s="149"/>
      <c r="J122" s="149"/>
      <c r="K122" s="149"/>
      <c r="L122" s="149"/>
      <c r="M122" s="21"/>
      <c r="N122" s="21"/>
      <c r="O122" s="21"/>
      <c r="P122" s="9"/>
      <c r="Q122" s="9"/>
      <c r="R122" s="9"/>
    </row>
    <row r="123" spans="1:18" ht="15" customHeight="1" x14ac:dyDescent="0.25">
      <c r="A123" s="22"/>
      <c r="B123" s="24"/>
      <c r="C123" s="58"/>
      <c r="D123" s="58"/>
      <c r="E123" s="149"/>
      <c r="F123" s="149"/>
      <c r="G123" s="149"/>
      <c r="H123" s="149"/>
      <c r="I123" s="149"/>
      <c r="J123" s="149"/>
      <c r="K123" s="149"/>
      <c r="L123" s="149"/>
      <c r="M123" s="21"/>
      <c r="N123" s="21"/>
      <c r="O123" s="21"/>
      <c r="P123" s="21"/>
      <c r="Q123" s="9"/>
      <c r="R123" s="9"/>
    </row>
    <row r="124" spans="1:18" ht="15.75" customHeight="1" x14ac:dyDescent="0.25">
      <c r="A124" s="22"/>
      <c r="B124" s="24"/>
      <c r="C124" s="149"/>
      <c r="D124" s="149"/>
      <c r="E124" s="149"/>
      <c r="F124" s="149"/>
      <c r="G124" s="149"/>
      <c r="H124" s="149"/>
      <c r="I124" s="149"/>
      <c r="J124" s="149"/>
      <c r="K124" s="149"/>
      <c r="L124" s="149"/>
      <c r="M124" s="21"/>
      <c r="N124" s="21"/>
      <c r="O124" s="21"/>
      <c r="P124" s="21"/>
      <c r="Q124" s="9"/>
      <c r="R124" s="9"/>
    </row>
    <row r="125" spans="1:18" x14ac:dyDescent="0.25">
      <c r="A125" s="22"/>
      <c r="B125" s="24"/>
      <c r="C125" s="149"/>
      <c r="D125" s="149"/>
      <c r="E125" s="149"/>
      <c r="F125" s="149"/>
      <c r="G125" s="149"/>
      <c r="H125" s="149"/>
      <c r="I125" s="149"/>
      <c r="J125" s="149"/>
      <c r="K125" s="149"/>
      <c r="L125" s="149"/>
      <c r="M125" s="149"/>
      <c r="N125" s="21"/>
      <c r="O125" s="21"/>
      <c r="P125" s="21"/>
      <c r="Q125" s="21"/>
      <c r="R125" s="9"/>
    </row>
    <row r="126" spans="1:18" x14ac:dyDescent="0.25">
      <c r="A126" s="17"/>
      <c r="B126" s="148"/>
      <c r="C126" s="148"/>
      <c r="D126" s="148"/>
      <c r="E126" s="148"/>
      <c r="F126" s="156"/>
      <c r="G126" s="156"/>
      <c r="H126" s="156"/>
      <c r="I126" s="156"/>
      <c r="J126" s="156"/>
      <c r="K126" s="156"/>
      <c r="L126" s="156"/>
      <c r="M126" s="156"/>
      <c r="N126" s="21"/>
      <c r="O126" s="21"/>
      <c r="P126" s="21"/>
      <c r="Q126" s="21"/>
    </row>
    <row r="127" spans="1:18" x14ac:dyDescent="0.25">
      <c r="A127" s="17"/>
      <c r="B127" s="148"/>
      <c r="C127" s="148"/>
      <c r="D127" s="148"/>
      <c r="E127" s="148"/>
      <c r="F127" s="156"/>
      <c r="G127" s="156"/>
      <c r="H127" s="156"/>
      <c r="I127" s="156"/>
      <c r="J127" s="156"/>
      <c r="K127" s="156"/>
      <c r="L127" s="156"/>
      <c r="M127" s="156"/>
      <c r="N127" s="21"/>
      <c r="O127" s="21"/>
      <c r="P127" s="155"/>
      <c r="Q127" s="155"/>
      <c r="R127" s="346"/>
    </row>
    <row r="128" spans="1:18" x14ac:dyDescent="0.25">
      <c r="A128" s="17"/>
      <c r="B128" s="148"/>
      <c r="C128" s="148"/>
      <c r="D128" s="148"/>
      <c r="E128" s="148"/>
      <c r="F128" s="156"/>
      <c r="G128" s="156"/>
      <c r="H128" s="156"/>
      <c r="I128" s="156"/>
      <c r="J128" s="156"/>
      <c r="K128" s="156"/>
      <c r="L128" s="156"/>
      <c r="M128" s="156"/>
      <c r="N128" s="21"/>
      <c r="O128" s="21"/>
      <c r="P128" s="155"/>
      <c r="Q128" s="155"/>
      <c r="R128" s="346"/>
    </row>
    <row r="129" spans="1:18" x14ac:dyDescent="0.25">
      <c r="A129" s="17"/>
      <c r="B129" s="148"/>
      <c r="C129" s="148"/>
      <c r="D129" s="148"/>
      <c r="E129" s="148"/>
      <c r="F129" s="156"/>
      <c r="G129" s="156"/>
      <c r="H129" s="156"/>
      <c r="I129" s="156"/>
      <c r="J129" s="156"/>
      <c r="K129" s="156"/>
      <c r="L129" s="156"/>
      <c r="M129" s="156"/>
      <c r="N129" s="21"/>
      <c r="O129" s="21"/>
      <c r="P129" s="155"/>
      <c r="Q129" s="155"/>
      <c r="R129" s="346"/>
    </row>
    <row r="130" spans="1:18" x14ac:dyDescent="0.25">
      <c r="A130" s="17"/>
      <c r="B130" s="148"/>
      <c r="C130" s="148"/>
      <c r="D130" s="148"/>
      <c r="E130" s="148"/>
      <c r="F130" s="156"/>
      <c r="G130" s="156"/>
      <c r="H130" s="156"/>
      <c r="I130" s="156"/>
      <c r="J130" s="156"/>
      <c r="K130" s="156"/>
      <c r="L130" s="156"/>
      <c r="M130" s="156"/>
      <c r="N130" s="21"/>
      <c r="O130" s="21"/>
      <c r="P130" s="21"/>
      <c r="Q130" s="21"/>
    </row>
    <row r="131" spans="1:18" x14ac:dyDescent="0.25">
      <c r="A131" s="17"/>
      <c r="B131" s="149"/>
      <c r="C131" s="149"/>
      <c r="D131" s="149"/>
      <c r="E131" s="149"/>
      <c r="F131" s="157"/>
      <c r="G131" s="157"/>
      <c r="H131" s="157"/>
      <c r="I131" s="157"/>
      <c r="J131" s="157"/>
      <c r="K131" s="157"/>
      <c r="L131" s="157"/>
      <c r="M131" s="157"/>
      <c r="N131" s="9"/>
      <c r="O131" s="9"/>
      <c r="P131" s="9"/>
      <c r="Q131" s="9"/>
    </row>
    <row r="132" spans="1:18" x14ac:dyDescent="0.25">
      <c r="A132" s="17"/>
      <c r="F132" s="23"/>
      <c r="G132" s="23"/>
      <c r="H132" s="23"/>
      <c r="I132" s="23"/>
      <c r="J132" s="23"/>
      <c r="K132" s="23"/>
      <c r="L132" s="23"/>
      <c r="M132" s="23"/>
      <c r="N132" s="9"/>
      <c r="O132" s="9"/>
      <c r="P132" s="9"/>
      <c r="Q132" s="9"/>
    </row>
    <row r="133" spans="1:18" x14ac:dyDescent="0.25">
      <c r="A133" s="17"/>
      <c r="F133" s="23"/>
      <c r="G133" s="23"/>
      <c r="H133" s="23"/>
      <c r="I133" s="23"/>
      <c r="J133" s="23"/>
      <c r="K133" s="23"/>
      <c r="L133" s="23"/>
      <c r="M133" s="23"/>
      <c r="N133" s="9"/>
      <c r="O133" s="9"/>
      <c r="P133" s="9"/>
      <c r="Q133" s="9"/>
    </row>
    <row r="134" spans="1:18" x14ac:dyDescent="0.25">
      <c r="A134" s="17"/>
      <c r="F134" s="23"/>
      <c r="G134" s="23"/>
      <c r="H134" s="23"/>
      <c r="I134" s="23"/>
      <c r="J134" s="23"/>
      <c r="K134" s="23"/>
      <c r="L134" s="23"/>
      <c r="M134" s="23"/>
      <c r="N134" s="9"/>
      <c r="O134" s="9"/>
      <c r="P134" s="9"/>
      <c r="Q134" s="9"/>
    </row>
    <row r="135" spans="1:18" x14ac:dyDescent="0.25">
      <c r="A135" s="17"/>
      <c r="F135" s="23"/>
      <c r="G135" s="23"/>
      <c r="H135" s="23"/>
      <c r="I135" s="23"/>
      <c r="J135" s="23"/>
      <c r="K135" s="23"/>
      <c r="L135" s="23"/>
      <c r="M135" s="23"/>
      <c r="N135" s="9"/>
      <c r="O135" s="9"/>
      <c r="P135" s="9"/>
      <c r="Q135" s="9"/>
    </row>
    <row r="136" spans="1:18" x14ac:dyDescent="0.25">
      <c r="A136" s="17"/>
      <c r="F136" s="23"/>
      <c r="G136" s="23"/>
      <c r="H136" s="23"/>
      <c r="I136" s="23"/>
      <c r="J136" s="23"/>
      <c r="K136" s="23"/>
      <c r="L136" s="23"/>
      <c r="M136" s="23"/>
      <c r="N136" s="9"/>
      <c r="O136" s="9"/>
      <c r="P136" s="9"/>
      <c r="Q136" s="9"/>
    </row>
    <row r="137" spans="1:18" x14ac:dyDescent="0.25">
      <c r="A137" s="17"/>
      <c r="F137" s="23"/>
      <c r="G137" s="23"/>
      <c r="H137" s="23"/>
      <c r="I137" s="23"/>
      <c r="J137" s="23"/>
      <c r="K137" s="23"/>
      <c r="L137" s="23"/>
      <c r="M137" s="23"/>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9"/>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9"/>
      <c r="F171" s="23"/>
      <c r="G171" s="23"/>
      <c r="H171" s="23"/>
      <c r="I171" s="23"/>
      <c r="J171" s="23"/>
      <c r="K171" s="23"/>
      <c r="L171" s="23"/>
      <c r="M171" s="23"/>
      <c r="N171" s="9"/>
      <c r="O171" s="9"/>
      <c r="P171" s="9"/>
      <c r="Q171" s="9"/>
    </row>
    <row r="172" spans="1:17" x14ac:dyDescent="0.25">
      <c r="A172" s="19"/>
      <c r="F172" s="23"/>
      <c r="G172" s="23"/>
      <c r="H172" s="23"/>
      <c r="I172" s="23"/>
      <c r="J172" s="23"/>
      <c r="K172" s="23"/>
      <c r="L172" s="23"/>
      <c r="M172" s="23"/>
      <c r="N172" s="9"/>
      <c r="O172" s="9"/>
      <c r="P172" s="9"/>
      <c r="Q172" s="9"/>
    </row>
    <row r="173" spans="1:17" x14ac:dyDescent="0.25">
      <c r="A173" s="19"/>
      <c r="F173" s="23"/>
      <c r="G173" s="23"/>
      <c r="H173" s="23"/>
      <c r="I173" s="23"/>
      <c r="J173" s="23"/>
      <c r="K173" s="23"/>
      <c r="L173" s="23"/>
      <c r="M173" s="23"/>
      <c r="N173" s="9"/>
      <c r="O173" s="9"/>
      <c r="P173" s="9"/>
      <c r="Q173" s="9"/>
    </row>
    <row r="174" spans="1:17" x14ac:dyDescent="0.25">
      <c r="A174" s="19"/>
      <c r="F174" s="23"/>
      <c r="G174" s="23"/>
      <c r="H174" s="23"/>
      <c r="I174" s="23"/>
      <c r="J174" s="23"/>
      <c r="K174" s="23"/>
      <c r="L174" s="23"/>
      <c r="M174" s="23"/>
      <c r="N174" s="9"/>
      <c r="O174" s="9"/>
      <c r="P174" s="9"/>
      <c r="Q174" s="9"/>
    </row>
    <row r="175" spans="1:17" x14ac:dyDescent="0.25">
      <c r="F175" s="23"/>
      <c r="G175" s="23"/>
      <c r="H175" s="23"/>
      <c r="I175" s="23"/>
      <c r="J175" s="23"/>
      <c r="K175" s="23"/>
      <c r="L175" s="23"/>
      <c r="M175" s="23"/>
      <c r="N175" s="9"/>
      <c r="O175" s="9"/>
      <c r="P175" s="9"/>
      <c r="Q175" s="9"/>
    </row>
    <row r="176" spans="1:17" x14ac:dyDescent="0.25">
      <c r="F176" s="23"/>
      <c r="G176" s="23"/>
      <c r="H176" s="23"/>
      <c r="I176" s="23"/>
      <c r="J176" s="23"/>
      <c r="K176" s="23"/>
      <c r="L176" s="23"/>
      <c r="M176" s="23"/>
      <c r="N176" s="9"/>
      <c r="O176" s="9"/>
      <c r="P176" s="9"/>
      <c r="Q176" s="9"/>
    </row>
    <row r="177" spans="6:17" x14ac:dyDescent="0.25">
      <c r="F177" s="23"/>
      <c r="G177" s="23"/>
      <c r="H177" s="23"/>
      <c r="I177" s="23"/>
      <c r="J177" s="23"/>
      <c r="K177" s="23"/>
      <c r="L177" s="23"/>
      <c r="M177" s="23"/>
      <c r="N177" s="9"/>
      <c r="O177" s="9"/>
      <c r="P177" s="9"/>
      <c r="Q177" s="9"/>
    </row>
    <row r="178" spans="6:17" x14ac:dyDescent="0.25">
      <c r="F178" s="23"/>
      <c r="G178" s="23"/>
      <c r="H178" s="23"/>
      <c r="I178" s="23"/>
      <c r="J178" s="23"/>
      <c r="K178" s="23"/>
      <c r="L178" s="23"/>
      <c r="M178" s="23"/>
      <c r="N178" s="9"/>
      <c r="O178" s="9"/>
      <c r="P178" s="9"/>
      <c r="Q178" s="9"/>
    </row>
    <row r="179" spans="6:17" x14ac:dyDescent="0.25">
      <c r="F179" s="23"/>
      <c r="G179" s="23"/>
      <c r="H179" s="23"/>
      <c r="I179" s="23"/>
      <c r="J179" s="23"/>
      <c r="K179" s="23"/>
      <c r="L179" s="23"/>
      <c r="M179" s="23"/>
      <c r="N179" s="9"/>
      <c r="O179" s="9"/>
      <c r="P179" s="9"/>
      <c r="Q179" s="9"/>
    </row>
    <row r="180" spans="6:17" x14ac:dyDescent="0.25">
      <c r="F180" s="23"/>
      <c r="G180" s="23"/>
      <c r="H180" s="23"/>
      <c r="I180" s="23"/>
      <c r="J180" s="23"/>
      <c r="K180" s="23"/>
      <c r="L180" s="23"/>
      <c r="M180" s="23"/>
      <c r="N180" s="9"/>
      <c r="O180" s="9"/>
      <c r="P180" s="9"/>
      <c r="Q180" s="9"/>
    </row>
    <row r="181" spans="6:17" x14ac:dyDescent="0.25">
      <c r="F181" s="23"/>
      <c r="G181" s="23"/>
      <c r="H181" s="23"/>
      <c r="I181" s="23"/>
      <c r="J181" s="23"/>
      <c r="K181" s="23"/>
      <c r="L181" s="23"/>
      <c r="M181" s="23"/>
      <c r="N181" s="9"/>
      <c r="O181" s="9"/>
      <c r="P181" s="9"/>
      <c r="Q181" s="9"/>
    </row>
    <row r="182" spans="6:17" x14ac:dyDescent="0.25">
      <c r="F182" s="23"/>
      <c r="G182" s="23"/>
      <c r="H182" s="23"/>
      <c r="I182" s="23"/>
      <c r="J182" s="23"/>
      <c r="K182" s="23"/>
      <c r="L182" s="23"/>
      <c r="M182" s="23"/>
      <c r="N182" s="9"/>
      <c r="O182" s="9"/>
      <c r="P182" s="9"/>
      <c r="Q182" s="9"/>
    </row>
    <row r="183" spans="6:17" x14ac:dyDescent="0.25">
      <c r="F183" s="23"/>
      <c r="G183" s="23"/>
      <c r="H183" s="23"/>
      <c r="I183" s="23"/>
      <c r="J183" s="23"/>
      <c r="K183" s="23"/>
      <c r="L183" s="23"/>
      <c r="M183" s="23"/>
      <c r="N183" s="9"/>
      <c r="O183" s="9"/>
      <c r="P183" s="9"/>
      <c r="Q183" s="9"/>
    </row>
    <row r="184" spans="6:17" x14ac:dyDescent="0.25">
      <c r="F184" s="23"/>
      <c r="G184" s="23"/>
      <c r="H184" s="23"/>
      <c r="I184" s="23"/>
      <c r="J184" s="23"/>
      <c r="K184" s="23"/>
      <c r="L184" s="23"/>
      <c r="M184" s="23"/>
      <c r="N184" s="9"/>
      <c r="O184" s="9"/>
      <c r="P184" s="9"/>
      <c r="Q184" s="9"/>
    </row>
    <row r="185" spans="6:17" x14ac:dyDescent="0.25">
      <c r="F185" s="23"/>
      <c r="G185" s="23"/>
      <c r="H185" s="23"/>
      <c r="I185" s="23"/>
      <c r="J185" s="23"/>
      <c r="K185" s="23"/>
      <c r="L185" s="23"/>
      <c r="M185" s="23"/>
    </row>
    <row r="186" spans="6:17" x14ac:dyDescent="0.25">
      <c r="F186" s="23"/>
      <c r="G186" s="23"/>
      <c r="H186" s="23"/>
      <c r="I186" s="23"/>
      <c r="J186" s="23"/>
      <c r="K186" s="23"/>
      <c r="L186" s="23"/>
      <c r="M186" s="23"/>
    </row>
    <row r="187" spans="6:17" x14ac:dyDescent="0.25">
      <c r="F187" s="23"/>
      <c r="G187" s="23"/>
      <c r="H187" s="23"/>
      <c r="I187" s="23"/>
      <c r="J187" s="23"/>
      <c r="K187" s="23"/>
      <c r="L187" s="23"/>
      <c r="M187" s="23"/>
    </row>
    <row r="188" spans="6:17" x14ac:dyDescent="0.25">
      <c r="F188" s="23"/>
      <c r="G188" s="23"/>
      <c r="H188" s="23"/>
      <c r="I188" s="23"/>
      <c r="J188" s="23"/>
      <c r="K188" s="23"/>
      <c r="L188" s="23"/>
      <c r="M188" s="23"/>
    </row>
    <row r="189" spans="6:17" x14ac:dyDescent="0.25">
      <c r="F189" s="23"/>
      <c r="G189" s="23"/>
      <c r="H189" s="23"/>
      <c r="I189" s="23"/>
      <c r="J189" s="23"/>
      <c r="K189" s="23"/>
      <c r="L189" s="23"/>
      <c r="M189" s="23"/>
    </row>
    <row r="190" spans="6:17" x14ac:dyDescent="0.25">
      <c r="F190" s="23"/>
      <c r="G190" s="23"/>
      <c r="H190" s="23"/>
      <c r="I190" s="23"/>
      <c r="J190" s="23"/>
      <c r="K190" s="23"/>
      <c r="L190" s="23"/>
      <c r="M190" s="23"/>
    </row>
    <row r="191" spans="6:17" x14ac:dyDescent="0.25">
      <c r="F191" s="23"/>
      <c r="G191" s="23"/>
      <c r="H191" s="23"/>
      <c r="I191" s="23"/>
      <c r="J191" s="23"/>
      <c r="K191" s="23"/>
      <c r="L191" s="23"/>
      <c r="M191" s="23"/>
    </row>
  </sheetData>
  <mergeCells count="292">
    <mergeCell ref="D82:D83"/>
    <mergeCell ref="D85:D92"/>
    <mergeCell ref="D93:D94"/>
    <mergeCell ref="D95:D98"/>
    <mergeCell ref="D107:D109"/>
    <mergeCell ref="D2:D3"/>
    <mergeCell ref="D5:D9"/>
    <mergeCell ref="D10:D14"/>
    <mergeCell ref="D15:D23"/>
    <mergeCell ref="D24:D33"/>
    <mergeCell ref="D34:D39"/>
    <mergeCell ref="D42:D45"/>
    <mergeCell ref="D46:D49"/>
    <mergeCell ref="D50:D51"/>
    <mergeCell ref="I46:I49"/>
    <mergeCell ref="J57:J59"/>
    <mergeCell ref="R62:R63"/>
    <mergeCell ref="K50:K51"/>
    <mergeCell ref="K52:K53"/>
    <mergeCell ref="A34:A39"/>
    <mergeCell ref="B34:B39"/>
    <mergeCell ref="B52:B53"/>
    <mergeCell ref="A52:A53"/>
    <mergeCell ref="F54:F61"/>
    <mergeCell ref="E54:E61"/>
    <mergeCell ref="K62:K63"/>
    <mergeCell ref="Q54:Q61"/>
    <mergeCell ref="L42:L44"/>
    <mergeCell ref="M42:M44"/>
    <mergeCell ref="N42:N44"/>
    <mergeCell ref="O42:O44"/>
    <mergeCell ref="P42:P44"/>
    <mergeCell ref="D52:D53"/>
    <mergeCell ref="D54:D61"/>
    <mergeCell ref="D62:D63"/>
    <mergeCell ref="P65:P66"/>
    <mergeCell ref="O65:O66"/>
    <mergeCell ref="N65:N66"/>
    <mergeCell ref="M65:M66"/>
    <mergeCell ref="L65:L66"/>
    <mergeCell ref="C65:C69"/>
    <mergeCell ref="B62:B63"/>
    <mergeCell ref="F50:F51"/>
    <mergeCell ref="G50:G51"/>
    <mergeCell ref="G52:G53"/>
    <mergeCell ref="F52:F53"/>
    <mergeCell ref="E52:E53"/>
    <mergeCell ref="C52:C53"/>
    <mergeCell ref="C50:C51"/>
    <mergeCell ref="G54:G61"/>
    <mergeCell ref="E50:E51"/>
    <mergeCell ref="D65:D69"/>
    <mergeCell ref="R5:R9"/>
    <mergeCell ref="N6:N7"/>
    <mergeCell ref="N8:N9"/>
    <mergeCell ref="R17:R18"/>
    <mergeCell ref="O17:O18"/>
    <mergeCell ref="K10:K12"/>
    <mergeCell ref="R46:R47"/>
    <mergeCell ref="I50:I51"/>
    <mergeCell ref="I52:I53"/>
    <mergeCell ref="J37:J38"/>
    <mergeCell ref="Q10:Q14"/>
    <mergeCell ref="I10:I14"/>
    <mergeCell ref="R37:R38"/>
    <mergeCell ref="P37:P38"/>
    <mergeCell ref="Q34:Q38"/>
    <mergeCell ref="P6:P7"/>
    <mergeCell ref="O8:O9"/>
    <mergeCell ref="P8:P9"/>
    <mergeCell ref="Q5:Q9"/>
    <mergeCell ref="L8:L9"/>
    <mergeCell ref="M8:M9"/>
    <mergeCell ref="L6:L7"/>
    <mergeCell ref="J8:J9"/>
    <mergeCell ref="K5:K9"/>
    <mergeCell ref="Q2:Q3"/>
    <mergeCell ref="P2:P3"/>
    <mergeCell ref="M2:O2"/>
    <mergeCell ref="L2:L3"/>
    <mergeCell ref="K2:K3"/>
    <mergeCell ref="J2:J3"/>
    <mergeCell ref="H2:H3"/>
    <mergeCell ref="S2:T2"/>
    <mergeCell ref="R2:R3"/>
    <mergeCell ref="C107:C109"/>
    <mergeCell ref="E107:E109"/>
    <mergeCell ref="F107:F109"/>
    <mergeCell ref="B2:B3"/>
    <mergeCell ref="C2:C3"/>
    <mergeCell ref="I2:I3"/>
    <mergeCell ref="G2:G3"/>
    <mergeCell ref="A2:A3"/>
    <mergeCell ref="F2:F3"/>
    <mergeCell ref="E2:E3"/>
    <mergeCell ref="A54:A61"/>
    <mergeCell ref="B54:B61"/>
    <mergeCell ref="A42:A45"/>
    <mergeCell ref="A15:A23"/>
    <mergeCell ref="B15:B23"/>
    <mergeCell ref="C15:C23"/>
    <mergeCell ref="A24:A33"/>
    <mergeCell ref="B24:B33"/>
    <mergeCell ref="A10:A14"/>
    <mergeCell ref="B10:B14"/>
    <mergeCell ref="C10:C14"/>
    <mergeCell ref="E10:E14"/>
    <mergeCell ref="F10:F14"/>
    <mergeCell ref="G10:G14"/>
    <mergeCell ref="B93:B94"/>
    <mergeCell ref="A93:A94"/>
    <mergeCell ref="C93:C94"/>
    <mergeCell ref="C112:K112"/>
    <mergeCell ref="Q24:Q32"/>
    <mergeCell ref="Q78:Q79"/>
    <mergeCell ref="Q80:Q81"/>
    <mergeCell ref="K78:K79"/>
    <mergeCell ref="K24:K25"/>
    <mergeCell ref="K26:K27"/>
    <mergeCell ref="K28:K29"/>
    <mergeCell ref="C62:C63"/>
    <mergeCell ref="E62:E63"/>
    <mergeCell ref="F62:F63"/>
    <mergeCell ref="G62:G63"/>
    <mergeCell ref="A110:F110"/>
    <mergeCell ref="A50:A51"/>
    <mergeCell ref="B50:B51"/>
    <mergeCell ref="B42:B45"/>
    <mergeCell ref="C42:C45"/>
    <mergeCell ref="E42:E45"/>
    <mergeCell ref="A107:A109"/>
    <mergeCell ref="C111:F111"/>
    <mergeCell ref="B107:B109"/>
    <mergeCell ref="G107:G109"/>
    <mergeCell ref="I107:I109"/>
    <mergeCell ref="A82:A83"/>
    <mergeCell ref="A78:A79"/>
    <mergeCell ref="A80:A81"/>
    <mergeCell ref="F78:F79"/>
    <mergeCell ref="F82:F83"/>
    <mergeCell ref="B82:B83"/>
    <mergeCell ref="C82:C83"/>
    <mergeCell ref="E82:E83"/>
    <mergeCell ref="A85:A92"/>
    <mergeCell ref="B85:B92"/>
    <mergeCell ref="A95:A98"/>
    <mergeCell ref="B95:B98"/>
    <mergeCell ref="C95:C98"/>
    <mergeCell ref="E95:E98"/>
    <mergeCell ref="F95:F98"/>
    <mergeCell ref="G95:G98"/>
    <mergeCell ref="C85:C92"/>
    <mergeCell ref="E93:E94"/>
    <mergeCell ref="F93:F94"/>
    <mergeCell ref="G93:G94"/>
    <mergeCell ref="I93:I94"/>
    <mergeCell ref="G78:G79"/>
    <mergeCell ref="A73:A75"/>
    <mergeCell ref="C73:C75"/>
    <mergeCell ref="E73:E75"/>
    <mergeCell ref="F73:F75"/>
    <mergeCell ref="B73:B75"/>
    <mergeCell ref="F80:F81"/>
    <mergeCell ref="C80:C81"/>
    <mergeCell ref="B80:B81"/>
    <mergeCell ref="E80:E81"/>
    <mergeCell ref="B78:B79"/>
    <mergeCell ref="E78:E79"/>
    <mergeCell ref="C78:C79"/>
    <mergeCell ref="D73:D75"/>
    <mergeCell ref="D78:D79"/>
    <mergeCell ref="D80:D81"/>
    <mergeCell ref="E85:E92"/>
    <mergeCell ref="F85:F92"/>
    <mergeCell ref="G85:G92"/>
    <mergeCell ref="I85:I92"/>
    <mergeCell ref="J85:J89"/>
    <mergeCell ref="Q50:Q51"/>
    <mergeCell ref="Q52:Q53"/>
    <mergeCell ref="Q85:Q90"/>
    <mergeCell ref="G82:G83"/>
    <mergeCell ref="Q62:Q63"/>
    <mergeCell ref="K73:K74"/>
    <mergeCell ref="G73:G75"/>
    <mergeCell ref="I73:I75"/>
    <mergeCell ref="I80:I81"/>
    <mergeCell ref="Q65:Q69"/>
    <mergeCell ref="I65:I69"/>
    <mergeCell ref="H50:H51"/>
    <mergeCell ref="H52:H53"/>
    <mergeCell ref="H54:H61"/>
    <mergeCell ref="H62:H63"/>
    <mergeCell ref="H65:H69"/>
    <mergeCell ref="K65:K66"/>
    <mergeCell ref="J65:J66"/>
    <mergeCell ref="K55:K56"/>
    <mergeCell ref="I5:I9"/>
    <mergeCell ref="G15:G23"/>
    <mergeCell ref="I15:I23"/>
    <mergeCell ref="C24:C33"/>
    <mergeCell ref="C34:C39"/>
    <mergeCell ref="G65:G69"/>
    <mergeCell ref="C54:C61"/>
    <mergeCell ref="A62:A63"/>
    <mergeCell ref="I62:I63"/>
    <mergeCell ref="A5:A9"/>
    <mergeCell ref="B5:B9"/>
    <mergeCell ref="C5:C9"/>
    <mergeCell ref="A46:A49"/>
    <mergeCell ref="B46:B49"/>
    <mergeCell ref="C46:C49"/>
    <mergeCell ref="E46:E49"/>
    <mergeCell ref="F46:F49"/>
    <mergeCell ref="G46:G49"/>
    <mergeCell ref="F42:F45"/>
    <mergeCell ref="E65:E69"/>
    <mergeCell ref="F65:F69"/>
    <mergeCell ref="G42:G45"/>
    <mergeCell ref="A65:A69"/>
    <mergeCell ref="B65:B69"/>
    <mergeCell ref="K22:K23"/>
    <mergeCell ref="H46:H49"/>
    <mergeCell ref="Q15:Q22"/>
    <mergeCell ref="E15:E23"/>
    <mergeCell ref="F15:F23"/>
    <mergeCell ref="P17:P18"/>
    <mergeCell ref="H5:H9"/>
    <mergeCell ref="H10:H14"/>
    <mergeCell ref="H15:H23"/>
    <mergeCell ref="E5:E9"/>
    <mergeCell ref="F5:F9"/>
    <mergeCell ref="G5:G9"/>
    <mergeCell ref="K13:K14"/>
    <mergeCell ref="K19:K20"/>
    <mergeCell ref="J17:J18"/>
    <mergeCell ref="K15:K16"/>
    <mergeCell ref="K17:K18"/>
    <mergeCell ref="I42:I45"/>
    <mergeCell ref="L37:L38"/>
    <mergeCell ref="Q42:Q45"/>
    <mergeCell ref="K46:K47"/>
    <mergeCell ref="J5:J7"/>
    <mergeCell ref="M6:M7"/>
    <mergeCell ref="O6:O7"/>
    <mergeCell ref="E24:E33"/>
    <mergeCell ref="F24:F33"/>
    <mergeCell ref="G24:G33"/>
    <mergeCell ref="I24:I33"/>
    <mergeCell ref="E34:E39"/>
    <mergeCell ref="F34:F39"/>
    <mergeCell ref="G34:G39"/>
    <mergeCell ref="I34:I39"/>
    <mergeCell ref="K30:K31"/>
    <mergeCell ref="K35:K36"/>
    <mergeCell ref="G80:G81"/>
    <mergeCell ref="I54:I61"/>
    <mergeCell ref="H24:H33"/>
    <mergeCell ref="H34:H39"/>
    <mergeCell ref="H42:H45"/>
    <mergeCell ref="K80:K81"/>
    <mergeCell ref="R67:R68"/>
    <mergeCell ref="P67:P68"/>
    <mergeCell ref="O67:O68"/>
    <mergeCell ref="N67:N68"/>
    <mergeCell ref="M67:M68"/>
    <mergeCell ref="L67:L68"/>
    <mergeCell ref="K67:K68"/>
    <mergeCell ref="J67:J68"/>
    <mergeCell ref="K32:K33"/>
    <mergeCell ref="K37:K39"/>
    <mergeCell ref="K57:K59"/>
    <mergeCell ref="L57:L59"/>
    <mergeCell ref="P57:P59"/>
    <mergeCell ref="Q46:Q49"/>
    <mergeCell ref="R65:R66"/>
    <mergeCell ref="R42:R44"/>
    <mergeCell ref="J42:J44"/>
    <mergeCell ref="K42:K44"/>
    <mergeCell ref="H107:H109"/>
    <mergeCell ref="Q95:Q96"/>
    <mergeCell ref="Q73:Q74"/>
    <mergeCell ref="I78:I79"/>
    <mergeCell ref="I95:I98"/>
    <mergeCell ref="I82:I83"/>
    <mergeCell ref="H85:H92"/>
    <mergeCell ref="H93:H94"/>
    <mergeCell ref="H95:H98"/>
    <mergeCell ref="H73:H75"/>
    <mergeCell ref="H78:H79"/>
    <mergeCell ref="H80:H81"/>
    <mergeCell ref="H82:H83"/>
    <mergeCell ref="J95:J96"/>
  </mergeCells>
  <pageMargins left="0.23622047244094491" right="0.23622047244094491" top="0.35433070866141736" bottom="0.55118110236220474" header="0.31496062992125984" footer="0.31496062992125984"/>
  <pageSetup paperSize="8" scale="56" fitToHeight="0" orientation="landscape" r:id="rId1"/>
  <headerFooter>
    <oddFooter xml:space="preserve">&amp;R&amp;12Zpracoval odbor finanční, stav k 3. 4. 2017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3"/>
  <sheetViews>
    <sheetView zoomScale="70" zoomScaleNormal="70" zoomScalePageLayoutView="85" workbookViewId="0">
      <selection activeCell="F5" sqref="F5:F7"/>
    </sheetView>
  </sheetViews>
  <sheetFormatPr defaultRowHeight="15" x14ac:dyDescent="0.25"/>
  <cols>
    <col min="1" max="1" width="4.7109375" customWidth="1"/>
    <col min="2" max="2" width="14.140625" customWidth="1"/>
    <col min="3" max="3" width="23.42578125" style="235" customWidth="1"/>
    <col min="4" max="4" width="17.28515625" style="235" customWidth="1"/>
    <col min="5" max="5" width="11.7109375" style="235" customWidth="1"/>
    <col min="6" max="6" width="8.7109375" style="235" customWidth="1"/>
    <col min="7" max="7" width="16.28515625" style="538" customWidth="1"/>
    <col min="8" max="8" width="13.85546875" style="636" customWidth="1"/>
    <col min="9" max="9" width="13.42578125" customWidth="1"/>
    <col min="10" max="10" width="15.140625" customWidth="1"/>
    <col min="11" max="11" width="40.7109375" customWidth="1"/>
    <col min="12" max="13" width="15" customWidth="1"/>
    <col min="14" max="14" width="16.7109375" customWidth="1"/>
    <col min="15" max="15" width="13.7109375" customWidth="1"/>
    <col min="16" max="16" width="11.42578125" customWidth="1"/>
    <col min="17" max="17" width="12.7109375" customWidth="1"/>
    <col min="18" max="18" width="56.85546875" customWidth="1"/>
    <col min="19" max="19" width="0" hidden="1" customWidth="1"/>
    <col min="20" max="20" width="15.5703125" hidden="1" customWidth="1"/>
  </cols>
  <sheetData>
    <row r="1" spans="1:89" ht="29.25" thickBot="1" x14ac:dyDescent="0.5">
      <c r="B1" s="165" t="s">
        <v>702</v>
      </c>
      <c r="C1" s="530"/>
      <c r="D1" s="530"/>
      <c r="E1" s="530"/>
      <c r="F1" s="530"/>
      <c r="G1" s="535"/>
      <c r="H1" s="572"/>
      <c r="I1" s="165"/>
      <c r="J1" s="165"/>
      <c r="K1" s="165"/>
      <c r="L1" s="165"/>
      <c r="M1" s="165"/>
      <c r="N1" s="165"/>
      <c r="O1" s="165"/>
      <c r="P1" s="165"/>
      <c r="Q1" s="165"/>
      <c r="R1" s="236" t="s">
        <v>294</v>
      </c>
    </row>
    <row r="2" spans="1:89" ht="32.25" customHeight="1" x14ac:dyDescent="0.25">
      <c r="A2" s="1034" t="s">
        <v>328</v>
      </c>
      <c r="B2" s="1037" t="s">
        <v>145</v>
      </c>
      <c r="C2" s="1037" t="s">
        <v>135</v>
      </c>
      <c r="D2" s="1037" t="s">
        <v>663</v>
      </c>
      <c r="E2" s="1037" t="s">
        <v>136</v>
      </c>
      <c r="F2" s="1052" t="s">
        <v>141</v>
      </c>
      <c r="G2" s="1112" t="s">
        <v>208</v>
      </c>
      <c r="H2" s="1110" t="s">
        <v>502</v>
      </c>
      <c r="I2" s="1037" t="s">
        <v>358</v>
      </c>
      <c r="J2" s="1037" t="s">
        <v>137</v>
      </c>
      <c r="K2" s="1093" t="s">
        <v>209</v>
      </c>
      <c r="L2" s="1037" t="s">
        <v>311</v>
      </c>
      <c r="M2" s="1095" t="s">
        <v>309</v>
      </c>
      <c r="N2" s="1095"/>
      <c r="O2" s="1095"/>
      <c r="P2" s="1037" t="s">
        <v>310</v>
      </c>
      <c r="Q2" s="1093" t="s">
        <v>270</v>
      </c>
      <c r="R2" s="1082" t="s">
        <v>210</v>
      </c>
      <c r="S2" s="1084" t="s">
        <v>397</v>
      </c>
      <c r="T2" s="1085"/>
    </row>
    <row r="3" spans="1:89" ht="164.25" customHeight="1" x14ac:dyDescent="0.25">
      <c r="A3" s="1035"/>
      <c r="B3" s="1038"/>
      <c r="C3" s="1038"/>
      <c r="D3" s="792"/>
      <c r="E3" s="1038"/>
      <c r="F3" s="1053"/>
      <c r="G3" s="1113"/>
      <c r="H3" s="1111"/>
      <c r="I3" s="1038"/>
      <c r="J3" s="1038"/>
      <c r="K3" s="1094"/>
      <c r="L3" s="1038"/>
      <c r="M3" s="641" t="s">
        <v>212</v>
      </c>
      <c r="N3" s="642" t="s">
        <v>213</v>
      </c>
      <c r="O3" s="241" t="s">
        <v>277</v>
      </c>
      <c r="P3" s="1038"/>
      <c r="Q3" s="1094"/>
      <c r="R3" s="1083"/>
      <c r="S3" s="245" t="s">
        <v>398</v>
      </c>
      <c r="T3" s="379" t="s">
        <v>195</v>
      </c>
    </row>
    <row r="4" spans="1:89" ht="48.75" customHeight="1" thickBot="1" x14ac:dyDescent="0.3">
      <c r="A4" s="381" t="s">
        <v>260</v>
      </c>
      <c r="B4" s="242" t="s">
        <v>261</v>
      </c>
      <c r="C4" s="242" t="s">
        <v>262</v>
      </c>
      <c r="D4" s="242" t="s">
        <v>263</v>
      </c>
      <c r="E4" s="242" t="s">
        <v>264</v>
      </c>
      <c r="F4" s="242" t="s">
        <v>265</v>
      </c>
      <c r="G4" s="242" t="s">
        <v>266</v>
      </c>
      <c r="H4" s="573" t="s">
        <v>267</v>
      </c>
      <c r="I4" s="242" t="s">
        <v>268</v>
      </c>
      <c r="J4" s="243" t="s">
        <v>269</v>
      </c>
      <c r="K4" s="243" t="s">
        <v>503</v>
      </c>
      <c r="L4" s="242" t="s">
        <v>664</v>
      </c>
      <c r="M4" s="242" t="s">
        <v>665</v>
      </c>
      <c r="N4" s="244" t="s">
        <v>504</v>
      </c>
      <c r="O4" s="242" t="s">
        <v>666</v>
      </c>
      <c r="P4" s="640" t="s">
        <v>667</v>
      </c>
      <c r="Q4" s="242" t="s">
        <v>668</v>
      </c>
      <c r="R4" s="639" t="s">
        <v>669</v>
      </c>
      <c r="S4" s="244" t="s">
        <v>399</v>
      </c>
      <c r="T4" s="242" t="s">
        <v>400</v>
      </c>
    </row>
    <row r="5" spans="1:89" ht="101.25" customHeight="1" x14ac:dyDescent="0.25">
      <c r="A5" s="1046">
        <v>1</v>
      </c>
      <c r="B5" s="1039" t="s">
        <v>63</v>
      </c>
      <c r="C5" s="1042" t="s">
        <v>326</v>
      </c>
      <c r="D5" s="999" t="s">
        <v>671</v>
      </c>
      <c r="E5" s="1109" t="s">
        <v>73</v>
      </c>
      <c r="F5" s="1054" t="s">
        <v>8</v>
      </c>
      <c r="G5" s="1043">
        <v>362375172.18000001</v>
      </c>
      <c r="H5" s="1049" t="s">
        <v>63</v>
      </c>
      <c r="I5" s="1086" t="s">
        <v>284</v>
      </c>
      <c r="J5" s="735" t="s">
        <v>139</v>
      </c>
      <c r="K5" s="574" t="s">
        <v>281</v>
      </c>
      <c r="L5" s="575">
        <v>101386743</v>
      </c>
      <c r="M5" s="575">
        <f>N5+O5</f>
        <v>16225264</v>
      </c>
      <c r="N5" s="487">
        <v>16225264</v>
      </c>
      <c r="O5" s="576"/>
      <c r="P5" s="577">
        <f>M5/L5</f>
        <v>0.1600333881915903</v>
      </c>
      <c r="Q5" s="1088">
        <f>(M5+M6+M7)/G5</f>
        <v>4.4774767273351009E-2</v>
      </c>
      <c r="R5" s="647" t="s">
        <v>529</v>
      </c>
      <c r="S5" s="643">
        <f>T5/L5</f>
        <v>0.8399666118084097</v>
      </c>
      <c r="T5" s="10">
        <f>L5-M5</f>
        <v>85161479</v>
      </c>
    </row>
    <row r="6" spans="1:89" ht="297.75" customHeight="1" x14ac:dyDescent="0.25">
      <c r="A6" s="1001"/>
      <c r="B6" s="1040"/>
      <c r="C6" s="1004"/>
      <c r="D6" s="791"/>
      <c r="E6" s="1057"/>
      <c r="F6" s="1010"/>
      <c r="G6" s="1044"/>
      <c r="H6" s="1050"/>
      <c r="I6" s="1087"/>
      <c r="J6" s="730" t="s">
        <v>30</v>
      </c>
      <c r="K6" s="214" t="s">
        <v>290</v>
      </c>
      <c r="L6" s="578">
        <v>1000000</v>
      </c>
      <c r="M6" s="575">
        <f>N6+O6</f>
        <v>0</v>
      </c>
      <c r="N6" s="488">
        <v>0</v>
      </c>
      <c r="O6" s="579">
        <v>0</v>
      </c>
      <c r="P6" s="580">
        <f t="shared" ref="P6:P65" si="0">M6/L6</f>
        <v>0</v>
      </c>
      <c r="Q6" s="1081"/>
      <c r="R6" s="647" t="s">
        <v>530</v>
      </c>
      <c r="S6" s="644">
        <f t="shared" ref="S6:S57" si="1">T6/L6</f>
        <v>1</v>
      </c>
      <c r="T6" s="5">
        <f t="shared" ref="T6:T57" si="2">L6-M6</f>
        <v>1000000</v>
      </c>
    </row>
    <row r="7" spans="1:89" ht="83.25" customHeight="1" x14ac:dyDescent="0.25">
      <c r="A7" s="1002"/>
      <c r="B7" s="1041"/>
      <c r="C7" s="1005"/>
      <c r="D7" s="792"/>
      <c r="E7" s="1058"/>
      <c r="F7" s="1011"/>
      <c r="G7" s="1045"/>
      <c r="H7" s="1051"/>
      <c r="I7" s="1061"/>
      <c r="J7" s="581" t="s">
        <v>30</v>
      </c>
      <c r="K7" s="582" t="s">
        <v>290</v>
      </c>
      <c r="L7" s="583">
        <v>600000</v>
      </c>
      <c r="M7" s="575">
        <v>0</v>
      </c>
      <c r="N7" s="489">
        <v>0</v>
      </c>
      <c r="O7" s="579">
        <v>0</v>
      </c>
      <c r="P7" s="580">
        <f t="shared" si="0"/>
        <v>0</v>
      </c>
      <c r="Q7" s="1068"/>
      <c r="R7" s="647" t="s">
        <v>531</v>
      </c>
      <c r="S7" s="644">
        <f t="shared" si="1"/>
        <v>1</v>
      </c>
      <c r="T7" s="5">
        <f t="shared" si="2"/>
        <v>600000</v>
      </c>
    </row>
    <row r="8" spans="1:89" ht="97.5" customHeight="1" x14ac:dyDescent="0.25">
      <c r="A8" s="648">
        <v>2</v>
      </c>
      <c r="B8" s="610" t="s">
        <v>63</v>
      </c>
      <c r="C8" s="581" t="s">
        <v>287</v>
      </c>
      <c r="D8" s="714" t="s">
        <v>671</v>
      </c>
      <c r="E8" s="584" t="s">
        <v>74</v>
      </c>
      <c r="F8" s="585" t="s">
        <v>8</v>
      </c>
      <c r="G8" s="586">
        <v>462724796.58999997</v>
      </c>
      <c r="H8" s="587" t="s">
        <v>63</v>
      </c>
      <c r="I8" s="568" t="s">
        <v>285</v>
      </c>
      <c r="J8" s="582" t="s">
        <v>139</v>
      </c>
      <c r="K8" s="582" t="s">
        <v>282</v>
      </c>
      <c r="L8" s="578">
        <v>13225052</v>
      </c>
      <c r="M8" s="575">
        <f>N8+O8</f>
        <v>3306264</v>
      </c>
      <c r="N8" s="490">
        <v>3306264</v>
      </c>
      <c r="O8" s="588"/>
      <c r="P8" s="580">
        <f t="shared" si="0"/>
        <v>0.25000007561406939</v>
      </c>
      <c r="Q8" s="589">
        <f>M8/G8</f>
        <v>7.1452060152495667E-3</v>
      </c>
      <c r="R8" s="647" t="s">
        <v>529</v>
      </c>
      <c r="S8" s="644">
        <f t="shared" si="1"/>
        <v>0.74999992438593055</v>
      </c>
      <c r="T8" s="5">
        <f t="shared" si="2"/>
        <v>9918788</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x14ac:dyDescent="0.25">
      <c r="A9" s="1031">
        <v>3</v>
      </c>
      <c r="B9" s="1003" t="s">
        <v>64</v>
      </c>
      <c r="C9" s="1003" t="s">
        <v>286</v>
      </c>
      <c r="D9" s="914" t="s">
        <v>672</v>
      </c>
      <c r="E9" s="1056" t="s">
        <v>75</v>
      </c>
      <c r="F9" s="1009" t="s">
        <v>8</v>
      </c>
      <c r="G9" s="1047">
        <v>400418989.25999999</v>
      </c>
      <c r="H9" s="1066" t="s">
        <v>532</v>
      </c>
      <c r="I9" s="804" t="s">
        <v>331</v>
      </c>
      <c r="J9" s="1003" t="s">
        <v>139</v>
      </c>
      <c r="K9" s="1069" t="s">
        <v>317</v>
      </c>
      <c r="L9" s="1089">
        <v>178471075</v>
      </c>
      <c r="M9" s="1089">
        <f>N9</f>
        <v>11053466</v>
      </c>
      <c r="N9" s="491">
        <f>11457379-24513-379400</f>
        <v>11053466</v>
      </c>
      <c r="O9" s="1096"/>
      <c r="P9" s="1067">
        <f>M9/L9</f>
        <v>6.1934215390365074E-2</v>
      </c>
      <c r="Q9" s="1067">
        <f>(M9+M11+M12)/G9</f>
        <v>0.15608232545489645</v>
      </c>
      <c r="R9" s="1091" t="s">
        <v>709</v>
      </c>
      <c r="S9" s="644"/>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336.75" customHeight="1" x14ac:dyDescent="0.25">
      <c r="A10" s="1032"/>
      <c r="B10" s="1004"/>
      <c r="C10" s="1004"/>
      <c r="D10" s="791"/>
      <c r="E10" s="1057"/>
      <c r="F10" s="1010"/>
      <c r="G10" s="1044"/>
      <c r="H10" s="1050"/>
      <c r="I10" s="1087"/>
      <c r="J10" s="1005"/>
      <c r="K10" s="1070"/>
      <c r="L10" s="1090"/>
      <c r="M10" s="1090"/>
      <c r="N10" s="492" t="s">
        <v>480</v>
      </c>
      <c r="O10" s="1097"/>
      <c r="P10" s="1068"/>
      <c r="Q10" s="1081"/>
      <c r="R10" s="1092"/>
      <c r="S10" s="644">
        <f>T10/L9</f>
        <v>0.93806578460963497</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89" s="136" customFormat="1" ht="324.75" customHeight="1" x14ac:dyDescent="0.25">
      <c r="A11" s="1032"/>
      <c r="B11" s="1004"/>
      <c r="C11" s="1004"/>
      <c r="D11" s="791"/>
      <c r="E11" s="1057"/>
      <c r="F11" s="1010"/>
      <c r="G11" s="1044"/>
      <c r="H11" s="1050"/>
      <c r="I11" s="1087"/>
      <c r="J11" s="582" t="s">
        <v>142</v>
      </c>
      <c r="K11" s="1071"/>
      <c r="L11" s="342">
        <v>40518449.969999999</v>
      </c>
      <c r="M11" s="575">
        <f t="shared" ref="M11:M29" si="3">N11+O11</f>
        <v>40518449.969999999</v>
      </c>
      <c r="N11" s="491">
        <v>40518449.969999999</v>
      </c>
      <c r="O11" s="493"/>
      <c r="P11" s="580">
        <f t="shared" si="0"/>
        <v>1</v>
      </c>
      <c r="Q11" s="1081"/>
      <c r="R11" s="647" t="s">
        <v>533</v>
      </c>
      <c r="S11" s="644">
        <f t="shared" si="1"/>
        <v>0</v>
      </c>
      <c r="T11" s="5">
        <f t="shared" si="2"/>
        <v>0</v>
      </c>
    </row>
    <row r="12" spans="1:89" s="136" customFormat="1" ht="355.5" customHeight="1" x14ac:dyDescent="0.25">
      <c r="A12" s="1032"/>
      <c r="B12" s="1004"/>
      <c r="C12" s="1004"/>
      <c r="D12" s="791"/>
      <c r="E12" s="1057"/>
      <c r="F12" s="1010"/>
      <c r="G12" s="1044"/>
      <c r="H12" s="1050"/>
      <c r="I12" s="1087"/>
      <c r="J12" s="582" t="s">
        <v>396</v>
      </c>
      <c r="K12" s="590" t="s">
        <v>395</v>
      </c>
      <c r="L12" s="342">
        <v>10926411.029999999</v>
      </c>
      <c r="M12" s="591">
        <f t="shared" si="3"/>
        <v>10926411.029999999</v>
      </c>
      <c r="N12" s="395">
        <v>10926411.029999999</v>
      </c>
      <c r="O12" s="592">
        <f>10926411.03-N12</f>
        <v>0</v>
      </c>
      <c r="P12" s="580">
        <f t="shared" si="0"/>
        <v>1</v>
      </c>
      <c r="Q12" s="1081"/>
      <c r="R12" s="715" t="s">
        <v>682</v>
      </c>
      <c r="S12" s="644">
        <f t="shared" si="1"/>
        <v>0</v>
      </c>
      <c r="T12" s="5">
        <f t="shared" si="2"/>
        <v>0</v>
      </c>
    </row>
    <row r="13" spans="1:89" s="153" customFormat="1" ht="137.25" customHeight="1" x14ac:dyDescent="0.25">
      <c r="A13" s="1033"/>
      <c r="B13" s="1005"/>
      <c r="C13" s="1005"/>
      <c r="D13" s="792"/>
      <c r="E13" s="1058"/>
      <c r="F13" s="1011"/>
      <c r="G13" s="1045"/>
      <c r="H13" s="1051"/>
      <c r="I13" s="1061"/>
      <c r="J13" s="582" t="s">
        <v>30</v>
      </c>
      <c r="K13" s="582" t="s">
        <v>318</v>
      </c>
      <c r="L13" s="342">
        <v>150000</v>
      </c>
      <c r="M13" s="575">
        <f t="shared" si="3"/>
        <v>150000</v>
      </c>
      <c r="N13" s="491">
        <v>150000</v>
      </c>
      <c r="O13" s="593"/>
      <c r="P13" s="580">
        <f t="shared" si="0"/>
        <v>1</v>
      </c>
      <c r="Q13" s="1068"/>
      <c r="R13" s="647" t="s">
        <v>534</v>
      </c>
      <c r="S13" s="644">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x14ac:dyDescent="0.25">
      <c r="A14" s="1031">
        <v>4</v>
      </c>
      <c r="B14" s="1003" t="s">
        <v>65</v>
      </c>
      <c r="C14" s="1003" t="s">
        <v>169</v>
      </c>
      <c r="D14" s="914" t="s">
        <v>672</v>
      </c>
      <c r="E14" s="1056" t="s">
        <v>76</v>
      </c>
      <c r="F14" s="1009" t="s">
        <v>8</v>
      </c>
      <c r="G14" s="1047">
        <v>433013258.18000001</v>
      </c>
      <c r="H14" s="1066" t="s">
        <v>532</v>
      </c>
      <c r="I14" s="804" t="s">
        <v>391</v>
      </c>
      <c r="J14" s="582" t="s">
        <v>139</v>
      </c>
      <c r="K14" s="582" t="s">
        <v>319</v>
      </c>
      <c r="L14" s="342">
        <v>354887803</v>
      </c>
      <c r="M14" s="575">
        <f t="shared" si="3"/>
        <v>88721951</v>
      </c>
      <c r="N14" s="494">
        <v>88721951</v>
      </c>
      <c r="O14" s="579"/>
      <c r="P14" s="580">
        <f t="shared" si="0"/>
        <v>0.250000000704448</v>
      </c>
      <c r="Q14" s="1067">
        <f>(M14+M15)/G14</f>
        <v>0.20558712537848972</v>
      </c>
      <c r="R14" s="647" t="s">
        <v>535</v>
      </c>
      <c r="S14" s="644">
        <f t="shared" si="1"/>
        <v>0.74999999929555206</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89" ht="210.75" customHeight="1" x14ac:dyDescent="0.25">
      <c r="A15" s="1033"/>
      <c r="B15" s="1005"/>
      <c r="C15" s="1005"/>
      <c r="D15" s="792"/>
      <c r="E15" s="1058"/>
      <c r="F15" s="1011"/>
      <c r="G15" s="1045"/>
      <c r="H15" s="1051"/>
      <c r="I15" s="1061"/>
      <c r="J15" s="582" t="s">
        <v>30</v>
      </c>
      <c r="K15" s="582" t="s">
        <v>320</v>
      </c>
      <c r="L15" s="342">
        <v>300000</v>
      </c>
      <c r="M15" s="575">
        <f t="shared" si="3"/>
        <v>300000</v>
      </c>
      <c r="N15" s="495">
        <v>300000</v>
      </c>
      <c r="O15" s="579"/>
      <c r="P15" s="580">
        <f t="shared" si="0"/>
        <v>1</v>
      </c>
      <c r="Q15" s="1068"/>
      <c r="R15" s="718" t="s">
        <v>684</v>
      </c>
      <c r="S15" s="644">
        <f t="shared" si="1"/>
        <v>0</v>
      </c>
      <c r="T15" s="5">
        <f t="shared" si="2"/>
        <v>0</v>
      </c>
    </row>
    <row r="16" spans="1:89" ht="285" customHeight="1" x14ac:dyDescent="0.25">
      <c r="A16" s="1000">
        <v>5</v>
      </c>
      <c r="B16" s="1059" t="s">
        <v>63</v>
      </c>
      <c r="C16" s="1003" t="s">
        <v>216</v>
      </c>
      <c r="D16" s="914" t="s">
        <v>671</v>
      </c>
      <c r="E16" s="1006" t="s">
        <v>77</v>
      </c>
      <c r="F16" s="1009" t="s">
        <v>8</v>
      </c>
      <c r="G16" s="873">
        <v>392633824.95999998</v>
      </c>
      <c r="H16" s="1013" t="s">
        <v>63</v>
      </c>
      <c r="I16" s="790" t="s">
        <v>367</v>
      </c>
      <c r="J16" s="582" t="s">
        <v>142</v>
      </c>
      <c r="K16" s="582" t="s">
        <v>279</v>
      </c>
      <c r="L16" s="342">
        <v>31074718.09</v>
      </c>
      <c r="M16" s="575">
        <f t="shared" si="3"/>
        <v>31074718.09</v>
      </c>
      <c r="N16" s="495">
        <v>31074718.09</v>
      </c>
      <c r="O16" s="579"/>
      <c r="P16" s="580">
        <f t="shared" si="0"/>
        <v>1</v>
      </c>
      <c r="Q16" s="589">
        <f>M16/G16</f>
        <v>7.9144271620423368E-2</v>
      </c>
      <c r="R16" s="647" t="s">
        <v>536</v>
      </c>
      <c r="S16" s="644">
        <f t="shared" si="1"/>
        <v>0</v>
      </c>
      <c r="T16" s="5">
        <f t="shared" si="2"/>
        <v>0</v>
      </c>
    </row>
    <row r="17" spans="1:20" ht="120.75" customHeight="1" x14ac:dyDescent="0.25">
      <c r="A17" s="1001"/>
      <c r="B17" s="1040"/>
      <c r="C17" s="1004"/>
      <c r="D17" s="791"/>
      <c r="E17" s="1007"/>
      <c r="F17" s="1010"/>
      <c r="G17" s="874"/>
      <c r="H17" s="1014"/>
      <c r="I17" s="902"/>
      <c r="J17" s="582" t="s">
        <v>472</v>
      </c>
      <c r="K17" s="582" t="s">
        <v>473</v>
      </c>
      <c r="L17" s="342">
        <f>134201.25*0.85</f>
        <v>114071.0625</v>
      </c>
      <c r="M17" s="575">
        <f>N17+O17</f>
        <v>114071.0625</v>
      </c>
      <c r="N17" s="495">
        <v>0</v>
      </c>
      <c r="O17" s="579">
        <f>134201.25*0.85</f>
        <v>114071.0625</v>
      </c>
      <c r="P17" s="580">
        <f t="shared" si="0"/>
        <v>1</v>
      </c>
      <c r="Q17" s="589">
        <f>M17/G16</f>
        <v>2.9052785381295443E-4</v>
      </c>
      <c r="R17" s="726" t="s">
        <v>696</v>
      </c>
      <c r="S17" s="644"/>
      <c r="T17" s="5"/>
    </row>
    <row r="18" spans="1:20" ht="135" x14ac:dyDescent="0.25">
      <c r="A18" s="1002"/>
      <c r="B18" s="1041"/>
      <c r="C18" s="1005"/>
      <c r="D18" s="792"/>
      <c r="E18" s="1008"/>
      <c r="F18" s="1011"/>
      <c r="G18" s="1012"/>
      <c r="H18" s="1015"/>
      <c r="I18" s="793"/>
      <c r="J18" s="582" t="s">
        <v>472</v>
      </c>
      <c r="K18" s="727" t="s">
        <v>697</v>
      </c>
      <c r="L18" s="342">
        <f>361507.25*0.85</f>
        <v>307281.16249999998</v>
      </c>
      <c r="M18" s="575">
        <f>N18+O18</f>
        <v>307281.16249999998</v>
      </c>
      <c r="N18" s="495">
        <v>0</v>
      </c>
      <c r="O18" s="579">
        <f>361507.25*0.85</f>
        <v>307281.16249999998</v>
      </c>
      <c r="P18" s="580">
        <f t="shared" si="0"/>
        <v>1</v>
      </c>
      <c r="Q18" s="589">
        <f>M18/G16</f>
        <v>7.8261510589747228E-4</v>
      </c>
      <c r="R18" s="726" t="s">
        <v>698</v>
      </c>
      <c r="S18" s="644"/>
      <c r="T18" s="5"/>
    </row>
    <row r="19" spans="1:20" ht="228.75" customHeight="1" x14ac:dyDescent="0.25">
      <c r="A19" s="1000">
        <v>6</v>
      </c>
      <c r="B19" s="1048" t="s">
        <v>63</v>
      </c>
      <c r="C19" s="1003" t="s">
        <v>170</v>
      </c>
      <c r="D19" s="914" t="s">
        <v>671</v>
      </c>
      <c r="E19" s="1006" t="s">
        <v>78</v>
      </c>
      <c r="F19" s="1009" t="s">
        <v>8</v>
      </c>
      <c r="G19" s="873">
        <v>77931313.939999998</v>
      </c>
      <c r="H19" s="1013" t="s">
        <v>63</v>
      </c>
      <c r="I19" s="790" t="s">
        <v>367</v>
      </c>
      <c r="J19" s="582" t="s">
        <v>142</v>
      </c>
      <c r="K19" s="582" t="s">
        <v>321</v>
      </c>
      <c r="L19" s="342">
        <f>19504849.28+97231.82</f>
        <v>19602081.100000001</v>
      </c>
      <c r="M19" s="575">
        <f t="shared" si="3"/>
        <v>16260597.42</v>
      </c>
      <c r="N19" s="495">
        <v>16260597.42</v>
      </c>
      <c r="O19" s="594"/>
      <c r="P19" s="580">
        <f t="shared" si="0"/>
        <v>0.82953423858653452</v>
      </c>
      <c r="Q19" s="589">
        <f>M19/G19</f>
        <v>0.20865293548777039</v>
      </c>
      <c r="R19" s="647" t="s">
        <v>537</v>
      </c>
      <c r="S19" s="644">
        <f t="shared" si="1"/>
        <v>0.17046576141346551</v>
      </c>
      <c r="T19" s="5">
        <f t="shared" si="2"/>
        <v>3341483.6800000016</v>
      </c>
    </row>
    <row r="20" spans="1:20" ht="151.5" customHeight="1" x14ac:dyDescent="0.25">
      <c r="A20" s="1002"/>
      <c r="B20" s="1041"/>
      <c r="C20" s="1005"/>
      <c r="D20" s="792"/>
      <c r="E20" s="1008"/>
      <c r="F20" s="1011"/>
      <c r="G20" s="1012"/>
      <c r="H20" s="1015"/>
      <c r="I20" s="793"/>
      <c r="J20" s="582" t="s">
        <v>472</v>
      </c>
      <c r="K20" s="582" t="s">
        <v>481</v>
      </c>
      <c r="L20" s="342">
        <v>44293.75</v>
      </c>
      <c r="M20" s="575">
        <f>N20+O20</f>
        <v>37649.68</v>
      </c>
      <c r="N20" s="495">
        <v>0</v>
      </c>
      <c r="O20" s="579">
        <v>37649.68</v>
      </c>
      <c r="P20" s="580">
        <f t="shared" si="0"/>
        <v>0.84999983067588547</v>
      </c>
      <c r="Q20" s="589">
        <f>M20/G19</f>
        <v>4.8311363040775651E-4</v>
      </c>
      <c r="R20" s="707" t="s">
        <v>653</v>
      </c>
      <c r="S20" s="644"/>
      <c r="T20" s="5"/>
    </row>
    <row r="21" spans="1:20" ht="224.25" customHeight="1" x14ac:dyDescent="0.25">
      <c r="A21" s="1000">
        <v>7</v>
      </c>
      <c r="B21" s="1048" t="s">
        <v>63</v>
      </c>
      <c r="C21" s="1003" t="s">
        <v>171</v>
      </c>
      <c r="D21" s="914" t="s">
        <v>671</v>
      </c>
      <c r="E21" s="1006" t="s">
        <v>78</v>
      </c>
      <c r="F21" s="1009" t="s">
        <v>8</v>
      </c>
      <c r="G21" s="873">
        <v>435187865.94999999</v>
      </c>
      <c r="H21" s="1013" t="s">
        <v>63</v>
      </c>
      <c r="I21" s="790" t="s">
        <v>367</v>
      </c>
      <c r="J21" s="582" t="s">
        <v>142</v>
      </c>
      <c r="K21" s="582" t="s">
        <v>280</v>
      </c>
      <c r="L21" s="342">
        <v>36122816.009999998</v>
      </c>
      <c r="M21" s="575">
        <f t="shared" si="3"/>
        <v>36122816.009999998</v>
      </c>
      <c r="N21" s="495">
        <v>36122816.009999998</v>
      </c>
      <c r="O21" s="579"/>
      <c r="P21" s="580">
        <f t="shared" si="0"/>
        <v>1</v>
      </c>
      <c r="Q21" s="589">
        <f>M21/G21</f>
        <v>8.3005108451599738E-2</v>
      </c>
      <c r="R21" s="647" t="s">
        <v>538</v>
      </c>
      <c r="S21" s="644">
        <f t="shared" si="1"/>
        <v>0</v>
      </c>
      <c r="T21" s="5">
        <f t="shared" si="2"/>
        <v>0</v>
      </c>
    </row>
    <row r="22" spans="1:20" ht="126.75" customHeight="1" x14ac:dyDescent="0.25">
      <c r="A22" s="1002"/>
      <c r="B22" s="1041"/>
      <c r="C22" s="1005"/>
      <c r="D22" s="792"/>
      <c r="E22" s="1008"/>
      <c r="F22" s="1011"/>
      <c r="G22" s="1012"/>
      <c r="H22" s="1015"/>
      <c r="I22" s="793"/>
      <c r="J22" s="582" t="s">
        <v>472</v>
      </c>
      <c r="K22" s="582" t="s">
        <v>477</v>
      </c>
      <c r="L22" s="342">
        <v>397500</v>
      </c>
      <c r="M22" s="575">
        <f>N22+O22</f>
        <v>337874.99</v>
      </c>
      <c r="N22" s="495">
        <v>0</v>
      </c>
      <c r="O22" s="579">
        <v>337874.99</v>
      </c>
      <c r="P22" s="580">
        <f t="shared" ref="P22" si="4">M22/L22</f>
        <v>0.84999997484276724</v>
      </c>
      <c r="Q22" s="589">
        <f>M22/G21</f>
        <v>7.7638881144452554E-4</v>
      </c>
      <c r="R22" s="707" t="s">
        <v>652</v>
      </c>
      <c r="S22" s="644"/>
      <c r="T22" s="5"/>
    </row>
    <row r="23" spans="1:20" ht="189" customHeight="1" x14ac:dyDescent="0.25">
      <c r="A23" s="1031">
        <v>8</v>
      </c>
      <c r="B23" s="1003" t="s">
        <v>66</v>
      </c>
      <c r="C23" s="1003" t="s">
        <v>67</v>
      </c>
      <c r="D23" s="914" t="s">
        <v>672</v>
      </c>
      <c r="E23" s="1006" t="s">
        <v>215</v>
      </c>
      <c r="F23" s="1009" t="s">
        <v>68</v>
      </c>
      <c r="G23" s="873">
        <v>7850000</v>
      </c>
      <c r="H23" s="1018" t="s">
        <v>539</v>
      </c>
      <c r="I23" s="804" t="s">
        <v>164</v>
      </c>
      <c r="J23" s="582" t="s">
        <v>143</v>
      </c>
      <c r="K23" s="741" t="s">
        <v>707</v>
      </c>
      <c r="L23" s="342">
        <v>1851077.37</v>
      </c>
      <c r="M23" s="575">
        <f t="shared" si="3"/>
        <v>3316481.86</v>
      </c>
      <c r="N23" s="595">
        <v>0</v>
      </c>
      <c r="O23" s="529">
        <v>3316481.86</v>
      </c>
      <c r="P23" s="580">
        <f t="shared" si="0"/>
        <v>1.7916495084157393</v>
      </c>
      <c r="Q23" s="1067">
        <f>(M23+M24)/G23</f>
        <v>0.42885119235668789</v>
      </c>
      <c r="R23" s="740" t="s">
        <v>706</v>
      </c>
      <c r="S23" s="644">
        <f t="shared" si="1"/>
        <v>-0.79164950841573933</v>
      </c>
      <c r="T23" s="5">
        <f t="shared" si="2"/>
        <v>-1465404.4899999998</v>
      </c>
    </row>
    <row r="24" spans="1:20" ht="63" customHeight="1" x14ac:dyDescent="0.25">
      <c r="A24" s="1033"/>
      <c r="B24" s="1005"/>
      <c r="C24" s="1005"/>
      <c r="D24" s="792"/>
      <c r="E24" s="1008"/>
      <c r="F24" s="1011"/>
      <c r="G24" s="1012"/>
      <c r="H24" s="1020"/>
      <c r="I24" s="1061"/>
      <c r="J24" s="596" t="s">
        <v>152</v>
      </c>
      <c r="K24" s="582" t="s">
        <v>291</v>
      </c>
      <c r="L24" s="342">
        <v>50000</v>
      </c>
      <c r="M24" s="575">
        <f t="shared" si="3"/>
        <v>50000</v>
      </c>
      <c r="N24" s="495">
        <v>50000</v>
      </c>
      <c r="O24" s="579"/>
      <c r="P24" s="580">
        <f t="shared" si="0"/>
        <v>1</v>
      </c>
      <c r="Q24" s="1068"/>
      <c r="R24" s="647" t="s">
        <v>540</v>
      </c>
      <c r="S24" s="644">
        <f t="shared" si="1"/>
        <v>0</v>
      </c>
      <c r="T24" s="5">
        <f t="shared" si="2"/>
        <v>0</v>
      </c>
    </row>
    <row r="25" spans="1:20" ht="214.5" customHeight="1" x14ac:dyDescent="0.25">
      <c r="A25" s="1031">
        <v>9</v>
      </c>
      <c r="B25" s="1003" t="s">
        <v>122</v>
      </c>
      <c r="C25" s="1016" t="s">
        <v>172</v>
      </c>
      <c r="D25" s="1060" t="s">
        <v>678</v>
      </c>
      <c r="E25" s="1056" t="s">
        <v>121</v>
      </c>
      <c r="F25" s="1009" t="s">
        <v>8</v>
      </c>
      <c r="G25" s="1047">
        <v>120250460.58</v>
      </c>
      <c r="H25" s="1066" t="s">
        <v>122</v>
      </c>
      <c r="I25" s="804" t="s">
        <v>332</v>
      </c>
      <c r="J25" s="582" t="s">
        <v>142</v>
      </c>
      <c r="K25" s="214" t="s">
        <v>322</v>
      </c>
      <c r="L25" s="342">
        <v>8920521.7899999991</v>
      </c>
      <c r="M25" s="575">
        <f t="shared" si="3"/>
        <v>8920521.7899999991</v>
      </c>
      <c r="N25" s="491">
        <v>8920521.7899999991</v>
      </c>
      <c r="O25" s="579"/>
      <c r="P25" s="580">
        <f t="shared" si="0"/>
        <v>1</v>
      </c>
      <c r="Q25" s="1067">
        <f>(M25+M26+M27+M28)/G25</f>
        <v>0.10790177540623937</v>
      </c>
      <c r="R25" s="647" t="s">
        <v>541</v>
      </c>
      <c r="S25" s="644">
        <f t="shared" si="1"/>
        <v>0</v>
      </c>
      <c r="T25" s="5">
        <f t="shared" si="2"/>
        <v>0</v>
      </c>
    </row>
    <row r="26" spans="1:20" ht="320.25" customHeight="1" x14ac:dyDescent="0.25">
      <c r="A26" s="1032"/>
      <c r="B26" s="1004"/>
      <c r="C26" s="1024"/>
      <c r="D26" s="791"/>
      <c r="E26" s="1057"/>
      <c r="F26" s="1010"/>
      <c r="G26" s="1044"/>
      <c r="H26" s="1050"/>
      <c r="I26" s="1087"/>
      <c r="J26" s="582" t="s">
        <v>139</v>
      </c>
      <c r="K26" s="582" t="s">
        <v>333</v>
      </c>
      <c r="L26" s="583">
        <v>7905397.8399999999</v>
      </c>
      <c r="M26" s="575">
        <f t="shared" si="3"/>
        <v>3914716.4</v>
      </c>
      <c r="N26" s="504">
        <v>3914716.4</v>
      </c>
      <c r="O26" s="579"/>
      <c r="P26" s="580">
        <f t="shared" si="0"/>
        <v>0.49519536894047067</v>
      </c>
      <c r="Q26" s="1081"/>
      <c r="R26" s="647" t="s">
        <v>542</v>
      </c>
      <c r="S26" s="644">
        <f t="shared" si="1"/>
        <v>0.50480463105952933</v>
      </c>
      <c r="T26" s="5">
        <f t="shared" si="2"/>
        <v>3990681.44</v>
      </c>
    </row>
    <row r="27" spans="1:20" ht="69.75" customHeight="1" x14ac:dyDescent="0.25">
      <c r="A27" s="1032"/>
      <c r="B27" s="1004"/>
      <c r="C27" s="1024"/>
      <c r="D27" s="791"/>
      <c r="E27" s="1057"/>
      <c r="F27" s="1010"/>
      <c r="G27" s="1044"/>
      <c r="H27" s="1050"/>
      <c r="I27" s="1087"/>
      <c r="J27" s="596" t="s">
        <v>152</v>
      </c>
      <c r="K27" s="582" t="s">
        <v>323</v>
      </c>
      <c r="L27" s="583">
        <v>100000</v>
      </c>
      <c r="M27" s="575">
        <f t="shared" si="3"/>
        <v>100000</v>
      </c>
      <c r="N27" s="491">
        <v>100000</v>
      </c>
      <c r="O27" s="579"/>
      <c r="P27" s="580">
        <f t="shared" si="0"/>
        <v>1</v>
      </c>
      <c r="Q27" s="1081"/>
      <c r="R27" s="647" t="s">
        <v>543</v>
      </c>
      <c r="S27" s="644">
        <f t="shared" si="1"/>
        <v>0</v>
      </c>
      <c r="T27" s="5">
        <f t="shared" si="2"/>
        <v>0</v>
      </c>
    </row>
    <row r="28" spans="1:20" ht="60" customHeight="1" x14ac:dyDescent="0.25">
      <c r="A28" s="1033"/>
      <c r="B28" s="1005"/>
      <c r="C28" s="1017"/>
      <c r="D28" s="792"/>
      <c r="E28" s="1058"/>
      <c r="F28" s="1011"/>
      <c r="G28" s="1045"/>
      <c r="H28" s="1051"/>
      <c r="I28" s="1061"/>
      <c r="J28" s="596" t="s">
        <v>152</v>
      </c>
      <c r="K28" s="582" t="s">
        <v>292</v>
      </c>
      <c r="L28" s="583">
        <v>40000</v>
      </c>
      <c r="M28" s="575">
        <f t="shared" si="3"/>
        <v>40000</v>
      </c>
      <c r="N28" s="491">
        <v>40000</v>
      </c>
      <c r="O28" s="579"/>
      <c r="P28" s="580">
        <f t="shared" si="0"/>
        <v>1</v>
      </c>
      <c r="Q28" s="1068"/>
      <c r="R28" s="647" t="s">
        <v>544</v>
      </c>
      <c r="S28" s="644">
        <f t="shared" si="1"/>
        <v>0</v>
      </c>
      <c r="T28" s="5">
        <f t="shared" si="2"/>
        <v>0</v>
      </c>
    </row>
    <row r="29" spans="1:20" ht="384" customHeight="1" x14ac:dyDescent="0.25">
      <c r="A29" s="1031">
        <v>10</v>
      </c>
      <c r="B29" s="1003" t="s">
        <v>69</v>
      </c>
      <c r="C29" s="1055" t="s">
        <v>708</v>
      </c>
      <c r="D29" s="914" t="s">
        <v>670</v>
      </c>
      <c r="E29" s="1006" t="s">
        <v>79</v>
      </c>
      <c r="F29" s="1009" t="s">
        <v>8</v>
      </c>
      <c r="G29" s="873">
        <v>13225586.65</v>
      </c>
      <c r="H29" s="1018" t="s">
        <v>69</v>
      </c>
      <c r="I29" s="804" t="s">
        <v>368</v>
      </c>
      <c r="J29" s="582" t="s">
        <v>142</v>
      </c>
      <c r="K29" s="582" t="s">
        <v>378</v>
      </c>
      <c r="L29" s="239">
        <v>2359075.4700000002</v>
      </c>
      <c r="M29" s="575">
        <f t="shared" si="3"/>
        <v>2359075.4700000002</v>
      </c>
      <c r="N29" s="491">
        <v>2359075.4700000002</v>
      </c>
      <c r="O29" s="240"/>
      <c r="P29" s="580">
        <f t="shared" si="0"/>
        <v>1</v>
      </c>
      <c r="Q29" s="1067">
        <f>(M29)/G29</f>
        <v>0.17837208529422777</v>
      </c>
      <c r="R29" s="647" t="s">
        <v>545</v>
      </c>
      <c r="S29" s="644">
        <f t="shared" si="1"/>
        <v>0</v>
      </c>
      <c r="T29" s="5">
        <f t="shared" si="2"/>
        <v>0</v>
      </c>
    </row>
    <row r="30" spans="1:20" ht="75" customHeight="1" x14ac:dyDescent="0.25">
      <c r="A30" s="1033"/>
      <c r="B30" s="1005"/>
      <c r="C30" s="1005"/>
      <c r="D30" s="792"/>
      <c r="E30" s="1008"/>
      <c r="F30" s="1011"/>
      <c r="G30" s="1012"/>
      <c r="H30" s="1020"/>
      <c r="I30" s="1061"/>
      <c r="J30" s="582" t="s">
        <v>30</v>
      </c>
      <c r="K30" s="582" t="s">
        <v>546</v>
      </c>
      <c r="L30" s="342">
        <v>0</v>
      </c>
      <c r="M30" s="342">
        <v>0</v>
      </c>
      <c r="N30" s="597">
        <v>0</v>
      </c>
      <c r="O30" s="496">
        <v>0</v>
      </c>
      <c r="P30" s="580" t="s">
        <v>211</v>
      </c>
      <c r="Q30" s="1068"/>
      <c r="R30" s="647" t="s">
        <v>547</v>
      </c>
      <c r="S30" s="644" t="e">
        <f t="shared" si="1"/>
        <v>#DIV/0!</v>
      </c>
      <c r="T30" s="5">
        <f t="shared" si="2"/>
        <v>0</v>
      </c>
    </row>
    <row r="31" spans="1:20" ht="217.5" customHeight="1" x14ac:dyDescent="0.25">
      <c r="A31" s="1031">
        <v>11</v>
      </c>
      <c r="B31" s="1003" t="s">
        <v>70</v>
      </c>
      <c r="C31" s="1003" t="s">
        <v>173</v>
      </c>
      <c r="D31" s="914" t="s">
        <v>672</v>
      </c>
      <c r="E31" s="1006" t="s">
        <v>80</v>
      </c>
      <c r="F31" s="1009" t="s">
        <v>8</v>
      </c>
      <c r="G31" s="873">
        <v>49829552.140000001</v>
      </c>
      <c r="H31" s="1013" t="s">
        <v>532</v>
      </c>
      <c r="I31" s="790" t="s">
        <v>276</v>
      </c>
      <c r="J31" s="582" t="s">
        <v>142</v>
      </c>
      <c r="K31" s="582" t="s">
        <v>379</v>
      </c>
      <c r="L31" s="239">
        <f>9646134.9+203643</f>
        <v>9849777.9000000004</v>
      </c>
      <c r="M31" s="598">
        <f>N31+O31</f>
        <v>2351606.3790000002</v>
      </c>
      <c r="N31" s="505">
        <f>2766595.74 *0.85</f>
        <v>2351606.3790000002</v>
      </c>
      <c r="O31" s="497"/>
      <c r="P31" s="580">
        <f t="shared" si="0"/>
        <v>0.23874714768949259</v>
      </c>
      <c r="Q31" s="1067">
        <f>M31/G31</f>
        <v>4.7193006519363832E-2</v>
      </c>
      <c r="R31" s="647" t="s">
        <v>548</v>
      </c>
      <c r="S31" s="644">
        <f t="shared" si="1"/>
        <v>0.76125285231050732</v>
      </c>
      <c r="T31" s="5">
        <f t="shared" si="2"/>
        <v>7498171.5209999997</v>
      </c>
    </row>
    <row r="32" spans="1:20" ht="114" customHeight="1" x14ac:dyDescent="0.25">
      <c r="A32" s="1032"/>
      <c r="B32" s="1004"/>
      <c r="C32" s="1004"/>
      <c r="D32" s="791"/>
      <c r="E32" s="1007"/>
      <c r="F32" s="1010"/>
      <c r="G32" s="874"/>
      <c r="H32" s="1014"/>
      <c r="I32" s="902"/>
      <c r="J32" s="582" t="s">
        <v>30</v>
      </c>
      <c r="K32" s="582" t="s">
        <v>334</v>
      </c>
      <c r="L32" s="342" t="s">
        <v>138</v>
      </c>
      <c r="M32" s="342" t="s">
        <v>138</v>
      </c>
      <c r="N32" s="599"/>
      <c r="O32" s="496" t="s">
        <v>138</v>
      </c>
      <c r="P32" s="580" t="s">
        <v>211</v>
      </c>
      <c r="Q32" s="1068"/>
      <c r="R32" s="647" t="s">
        <v>549</v>
      </c>
      <c r="S32" s="644" t="e">
        <f t="shared" si="1"/>
        <v>#VALUE!</v>
      </c>
      <c r="T32" s="5" t="e">
        <f t="shared" si="2"/>
        <v>#VALUE!</v>
      </c>
    </row>
    <row r="33" spans="1:20" ht="210" customHeight="1" x14ac:dyDescent="0.25">
      <c r="A33" s="1033"/>
      <c r="B33" s="1005"/>
      <c r="C33" s="1005"/>
      <c r="D33" s="792"/>
      <c r="E33" s="1008"/>
      <c r="F33" s="1011"/>
      <c r="G33" s="1012"/>
      <c r="H33" s="1015"/>
      <c r="I33" s="793"/>
      <c r="J33" s="582" t="s">
        <v>472</v>
      </c>
      <c r="K33" s="582" t="s">
        <v>483</v>
      </c>
      <c r="L33" s="342">
        <f>7969147.37*0.85</f>
        <v>6773775.2644999996</v>
      </c>
      <c r="M33" s="575">
        <f>N33+O33</f>
        <v>7605521.8899999997</v>
      </c>
      <c r="N33" s="494">
        <v>7605521.8899999997</v>
      </c>
      <c r="O33" s="579">
        <v>0</v>
      </c>
      <c r="P33" s="580">
        <f t="shared" si="0"/>
        <v>1.1227892265424007</v>
      </c>
      <c r="Q33" s="589">
        <f>M33/G31</f>
        <v>0.15263074949242358</v>
      </c>
      <c r="R33" s="647" t="s">
        <v>550</v>
      </c>
      <c r="S33" s="644"/>
      <c r="T33" s="5"/>
    </row>
    <row r="34" spans="1:20" ht="195" customHeight="1" x14ac:dyDescent="0.25">
      <c r="A34" s="649">
        <v>12</v>
      </c>
      <c r="B34" s="581" t="s">
        <v>81</v>
      </c>
      <c r="C34" s="581" t="s">
        <v>288</v>
      </c>
      <c r="D34" s="714" t="s">
        <v>670</v>
      </c>
      <c r="E34" s="318" t="s">
        <v>336</v>
      </c>
      <c r="F34" s="585" t="s">
        <v>8</v>
      </c>
      <c r="G34" s="354">
        <v>26500000</v>
      </c>
      <c r="H34" s="600" t="s">
        <v>551</v>
      </c>
      <c r="I34" s="568" t="s">
        <v>168</v>
      </c>
      <c r="J34" s="582" t="s">
        <v>335</v>
      </c>
      <c r="K34" s="582" t="s">
        <v>293</v>
      </c>
      <c r="L34" s="578">
        <v>538872.96</v>
      </c>
      <c r="M34" s="575">
        <f>N34+O34</f>
        <v>538872.96</v>
      </c>
      <c r="N34" s="491">
        <v>538872.96</v>
      </c>
      <c r="O34" s="588"/>
      <c r="P34" s="580">
        <f t="shared" si="0"/>
        <v>1</v>
      </c>
      <c r="Q34" s="589">
        <f>M34/G34</f>
        <v>2.0334828679245281E-2</v>
      </c>
      <c r="R34" s="647" t="s">
        <v>552</v>
      </c>
      <c r="S34" s="644">
        <f t="shared" si="1"/>
        <v>0</v>
      </c>
      <c r="T34" s="5">
        <f t="shared" si="2"/>
        <v>0</v>
      </c>
    </row>
    <row r="35" spans="1:20" ht="210.75" customHeight="1" x14ac:dyDescent="0.25">
      <c r="A35" s="1021">
        <v>13</v>
      </c>
      <c r="B35" s="1016" t="s">
        <v>63</v>
      </c>
      <c r="C35" s="1065" t="s">
        <v>661</v>
      </c>
      <c r="D35" s="1060" t="s">
        <v>671</v>
      </c>
      <c r="E35" s="1003" t="s">
        <v>134</v>
      </c>
      <c r="F35" s="1048" t="s">
        <v>8</v>
      </c>
      <c r="G35" s="873">
        <v>75842841.900000006</v>
      </c>
      <c r="H35" s="1013" t="s">
        <v>63</v>
      </c>
      <c r="I35" s="790" t="s">
        <v>365</v>
      </c>
      <c r="J35" s="596" t="s">
        <v>142</v>
      </c>
      <c r="K35" s="582" t="s">
        <v>324</v>
      </c>
      <c r="L35" s="578">
        <v>101050.13</v>
      </c>
      <c r="M35" s="598">
        <f>N35+O35</f>
        <v>6582.4</v>
      </c>
      <c r="N35" s="498">
        <v>6582.4</v>
      </c>
      <c r="O35" s="601">
        <v>0</v>
      </c>
      <c r="P35" s="580">
        <f t="shared" si="0"/>
        <v>6.5139945886264566E-2</v>
      </c>
      <c r="Q35" s="1067">
        <f>(M35+M36)/G35</f>
        <v>3.5049051873674584E-3</v>
      </c>
      <c r="R35" s="710" t="s">
        <v>662</v>
      </c>
      <c r="S35" s="644">
        <f t="shared" si="1"/>
        <v>0.93486005411373552</v>
      </c>
      <c r="T35" s="5">
        <f t="shared" si="2"/>
        <v>94467.73000000001</v>
      </c>
    </row>
    <row r="36" spans="1:20" ht="144.75" customHeight="1" x14ac:dyDescent="0.25">
      <c r="A36" s="1023"/>
      <c r="B36" s="1017"/>
      <c r="C36" s="1017"/>
      <c r="D36" s="792"/>
      <c r="E36" s="1005"/>
      <c r="F36" s="1041"/>
      <c r="G36" s="1012"/>
      <c r="H36" s="1015"/>
      <c r="I36" s="793"/>
      <c r="J36" s="596" t="s">
        <v>385</v>
      </c>
      <c r="K36" s="582" t="s">
        <v>484</v>
      </c>
      <c r="L36" s="578">
        <v>259239.57</v>
      </c>
      <c r="M36" s="602">
        <v>259239.57</v>
      </c>
      <c r="N36" s="505">
        <v>0</v>
      </c>
      <c r="O36" s="588">
        <v>259239.57</v>
      </c>
      <c r="P36" s="580">
        <f t="shared" si="0"/>
        <v>1</v>
      </c>
      <c r="Q36" s="1068"/>
      <c r="R36" s="707" t="s">
        <v>654</v>
      </c>
      <c r="S36" s="644"/>
      <c r="T36" s="5"/>
    </row>
    <row r="37" spans="1:20" ht="230.25" customHeight="1" x14ac:dyDescent="0.25">
      <c r="A37" s="1021">
        <v>14</v>
      </c>
      <c r="B37" s="1016" t="s">
        <v>63</v>
      </c>
      <c r="C37" s="1036" t="s">
        <v>174</v>
      </c>
      <c r="D37" s="1060" t="s">
        <v>671</v>
      </c>
      <c r="E37" s="1003" t="s">
        <v>82</v>
      </c>
      <c r="F37" s="1009" t="s">
        <v>8</v>
      </c>
      <c r="G37" s="873">
        <v>114675654.39</v>
      </c>
      <c r="H37" s="1013" t="s">
        <v>63</v>
      </c>
      <c r="I37" s="790" t="s">
        <v>367</v>
      </c>
      <c r="J37" s="582" t="s">
        <v>142</v>
      </c>
      <c r="K37" s="582" t="s">
        <v>382</v>
      </c>
      <c r="L37" s="578">
        <v>3378744.56</v>
      </c>
      <c r="M37" s="575">
        <v>872179.28</v>
      </c>
      <c r="N37" s="491">
        <v>872179.28</v>
      </c>
      <c r="O37" s="588"/>
      <c r="P37" s="580">
        <f>M37/L37</f>
        <v>0.25813708746304276</v>
      </c>
      <c r="Q37" s="1067">
        <f>(M37:M39)/G37</f>
        <v>7.6056185128345445E-3</v>
      </c>
      <c r="R37" s="647" t="s">
        <v>553</v>
      </c>
      <c r="S37" s="644">
        <f t="shared" si="1"/>
        <v>0.74186291253695724</v>
      </c>
      <c r="T37" s="5">
        <f t="shared" si="2"/>
        <v>2506565.2800000003</v>
      </c>
    </row>
    <row r="38" spans="1:20" ht="51.75" customHeight="1" x14ac:dyDescent="0.25">
      <c r="A38" s="1022"/>
      <c r="B38" s="1024"/>
      <c r="C38" s="1024"/>
      <c r="D38" s="791"/>
      <c r="E38" s="1004"/>
      <c r="F38" s="1010"/>
      <c r="G38" s="874"/>
      <c r="H38" s="1014"/>
      <c r="I38" s="902"/>
      <c r="J38" s="582" t="s">
        <v>152</v>
      </c>
      <c r="K38" s="582" t="s">
        <v>377</v>
      </c>
      <c r="L38" s="578">
        <v>0</v>
      </c>
      <c r="M38" s="575">
        <v>0</v>
      </c>
      <c r="N38" s="481">
        <v>0</v>
      </c>
      <c r="O38" s="588">
        <v>0</v>
      </c>
      <c r="P38" s="580">
        <v>0</v>
      </c>
      <c r="Q38" s="1081"/>
      <c r="R38" s="647" t="s">
        <v>554</v>
      </c>
      <c r="S38" s="644" t="e">
        <f t="shared" si="1"/>
        <v>#DIV/0!</v>
      </c>
      <c r="T38" s="5">
        <f t="shared" si="2"/>
        <v>0</v>
      </c>
    </row>
    <row r="39" spans="1:20" ht="126" customHeight="1" x14ac:dyDescent="0.25">
      <c r="A39" s="1023"/>
      <c r="B39" s="1017"/>
      <c r="C39" s="1017"/>
      <c r="D39" s="792"/>
      <c r="E39" s="1005"/>
      <c r="F39" s="1011"/>
      <c r="G39" s="1012"/>
      <c r="H39" s="1015"/>
      <c r="I39" s="793"/>
      <c r="J39" s="582" t="s">
        <v>385</v>
      </c>
      <c r="K39" s="582" t="s">
        <v>484</v>
      </c>
      <c r="L39" s="603">
        <v>225882.28</v>
      </c>
      <c r="M39" s="575">
        <f>N39+O39</f>
        <v>186679.77</v>
      </c>
      <c r="N39" s="481">
        <v>0</v>
      </c>
      <c r="O39" s="588">
        <v>186679.77</v>
      </c>
      <c r="P39" s="580">
        <v>0</v>
      </c>
      <c r="Q39" s="1068"/>
      <c r="R39" s="707" t="s">
        <v>655</v>
      </c>
      <c r="S39" s="644">
        <f t="shared" si="1"/>
        <v>0.17355283468893623</v>
      </c>
      <c r="T39" s="5">
        <f t="shared" si="2"/>
        <v>39202.510000000009</v>
      </c>
    </row>
    <row r="40" spans="1:20" ht="279" customHeight="1" x14ac:dyDescent="0.25">
      <c r="A40" s="1021">
        <v>15</v>
      </c>
      <c r="B40" s="1016" t="s">
        <v>63</v>
      </c>
      <c r="C40" s="1016" t="s">
        <v>366</v>
      </c>
      <c r="D40" s="1060" t="s">
        <v>671</v>
      </c>
      <c r="E40" s="1003" t="s">
        <v>82</v>
      </c>
      <c r="F40" s="1009" t="s">
        <v>8</v>
      </c>
      <c r="G40" s="873">
        <v>97211812.730000004</v>
      </c>
      <c r="H40" s="1013" t="s">
        <v>63</v>
      </c>
      <c r="I40" s="790" t="s">
        <v>367</v>
      </c>
      <c r="J40" s="582" t="s">
        <v>142</v>
      </c>
      <c r="K40" s="582" t="s">
        <v>383</v>
      </c>
      <c r="L40" s="239">
        <v>1372882.5</v>
      </c>
      <c r="M40" s="499">
        <f>N40+O40</f>
        <v>682903.82</v>
      </c>
      <c r="N40" s="488">
        <v>682903.82</v>
      </c>
      <c r="O40" s="240"/>
      <c r="P40" s="500">
        <f t="shared" si="0"/>
        <v>0.49742335560399376</v>
      </c>
      <c r="Q40" s="1106">
        <f>(M40+M41)/G40</f>
        <v>1.4754757469483513E-2</v>
      </c>
      <c r="R40" s="650" t="s">
        <v>555</v>
      </c>
      <c r="S40" s="644">
        <f t="shared" si="1"/>
        <v>0.50257664439600624</v>
      </c>
      <c r="T40" s="5">
        <f t="shared" si="2"/>
        <v>689978.68</v>
      </c>
    </row>
    <row r="41" spans="1:20" ht="125.25" customHeight="1" x14ac:dyDescent="0.25">
      <c r="A41" s="1023"/>
      <c r="B41" s="1017"/>
      <c r="C41" s="1017"/>
      <c r="D41" s="792"/>
      <c r="E41" s="1005"/>
      <c r="F41" s="1011"/>
      <c r="G41" s="1012"/>
      <c r="H41" s="1015"/>
      <c r="I41" s="793"/>
      <c r="J41" s="596" t="s">
        <v>385</v>
      </c>
      <c r="K41" s="582" t="s">
        <v>371</v>
      </c>
      <c r="L41" s="239">
        <v>910378.05</v>
      </c>
      <c r="M41" s="499">
        <f>N41+O41</f>
        <v>751432.9</v>
      </c>
      <c r="N41" s="481">
        <v>0</v>
      </c>
      <c r="O41" s="497">
        <v>751432.9</v>
      </c>
      <c r="P41" s="500">
        <v>1</v>
      </c>
      <c r="Q41" s="1107"/>
      <c r="R41" s="650" t="s">
        <v>656</v>
      </c>
      <c r="S41" s="644">
        <f t="shared" si="1"/>
        <v>0.17459246738209475</v>
      </c>
      <c r="T41" s="5">
        <f t="shared" si="2"/>
        <v>158945.15000000002</v>
      </c>
    </row>
    <row r="42" spans="1:20" ht="105" customHeight="1" x14ac:dyDescent="0.25">
      <c r="A42" s="1021">
        <v>16</v>
      </c>
      <c r="B42" s="1016" t="s">
        <v>122</v>
      </c>
      <c r="C42" s="1003" t="s">
        <v>175</v>
      </c>
      <c r="D42" s="914" t="s">
        <v>678</v>
      </c>
      <c r="E42" s="1062" t="s">
        <v>148</v>
      </c>
      <c r="F42" s="1009" t="s">
        <v>8</v>
      </c>
      <c r="G42" s="873">
        <v>126000000</v>
      </c>
      <c r="H42" s="1013" t="s">
        <v>122</v>
      </c>
      <c r="I42" s="790" t="s">
        <v>276</v>
      </c>
      <c r="J42" s="1003" t="s">
        <v>142</v>
      </c>
      <c r="K42" s="1069" t="s">
        <v>482</v>
      </c>
      <c r="L42" s="1072">
        <v>6710623.1600000001</v>
      </c>
      <c r="M42" s="1072">
        <f>N42+O42</f>
        <v>2486852.63</v>
      </c>
      <c r="N42" s="1075">
        <v>0</v>
      </c>
      <c r="O42" s="1078">
        <v>2486852.63</v>
      </c>
      <c r="P42" s="1067">
        <f>M42/L42</f>
        <v>0.37058445552767411</v>
      </c>
      <c r="Q42" s="1067">
        <f>M42/G42</f>
        <v>1.9736925634920632E-2</v>
      </c>
      <c r="R42" s="1098" t="s">
        <v>556</v>
      </c>
      <c r="S42" s="644">
        <f t="shared" si="1"/>
        <v>0.62941554447232595</v>
      </c>
      <c r="T42" s="5">
        <f t="shared" si="2"/>
        <v>4223770.53</v>
      </c>
    </row>
    <row r="43" spans="1:20" ht="75" customHeight="1" x14ac:dyDescent="0.25">
      <c r="A43" s="1022"/>
      <c r="B43" s="1024"/>
      <c r="C43" s="1004"/>
      <c r="D43" s="791"/>
      <c r="E43" s="1063"/>
      <c r="F43" s="1010"/>
      <c r="G43" s="874"/>
      <c r="H43" s="1014"/>
      <c r="I43" s="902"/>
      <c r="J43" s="1004"/>
      <c r="K43" s="1070"/>
      <c r="L43" s="1073"/>
      <c r="M43" s="1073"/>
      <c r="N43" s="1076"/>
      <c r="O43" s="1079"/>
      <c r="P43" s="1081"/>
      <c r="Q43" s="1081"/>
      <c r="R43" s="1099"/>
      <c r="S43" s="644" t="e">
        <f t="shared" si="1"/>
        <v>#DIV/0!</v>
      </c>
      <c r="T43" s="5">
        <f t="shared" si="2"/>
        <v>0</v>
      </c>
    </row>
    <row r="44" spans="1:20" ht="94.5" customHeight="1" x14ac:dyDescent="0.25">
      <c r="A44" s="1022"/>
      <c r="B44" s="1024"/>
      <c r="C44" s="1004"/>
      <c r="D44" s="791"/>
      <c r="E44" s="1063"/>
      <c r="F44" s="1010"/>
      <c r="G44" s="874"/>
      <c r="H44" s="1014"/>
      <c r="I44" s="902"/>
      <c r="J44" s="1005"/>
      <c r="K44" s="1071"/>
      <c r="L44" s="1074"/>
      <c r="M44" s="1074"/>
      <c r="N44" s="1077"/>
      <c r="O44" s="1080"/>
      <c r="P44" s="1068"/>
      <c r="Q44" s="1068"/>
      <c r="R44" s="1092"/>
      <c r="S44" s="644"/>
      <c r="T44" s="5"/>
    </row>
    <row r="45" spans="1:20" ht="149.25" customHeight="1" x14ac:dyDescent="0.25">
      <c r="A45" s="1022"/>
      <c r="B45" s="1024"/>
      <c r="C45" s="1004"/>
      <c r="D45" s="791"/>
      <c r="E45" s="1063"/>
      <c r="F45" s="1010"/>
      <c r="G45" s="874"/>
      <c r="H45" s="1014"/>
      <c r="I45" s="902"/>
      <c r="J45" s="590" t="s">
        <v>142</v>
      </c>
      <c r="K45" s="604" t="s">
        <v>474</v>
      </c>
      <c r="L45" s="605">
        <v>1604834.94</v>
      </c>
      <c r="M45" s="605">
        <f>N45+O45</f>
        <v>1604834.94</v>
      </c>
      <c r="N45" s="481">
        <v>0</v>
      </c>
      <c r="O45" s="528">
        <v>1604834.94</v>
      </c>
      <c r="P45" s="580">
        <f t="shared" ref="P45:P46" si="5">M45/L45</f>
        <v>1</v>
      </c>
      <c r="Q45" s="580">
        <f>M45/G42</f>
        <v>1.2736785238095238E-2</v>
      </c>
      <c r="R45" s="651" t="s">
        <v>557</v>
      </c>
      <c r="S45" s="644"/>
      <c r="T45" s="5"/>
    </row>
    <row r="46" spans="1:20" ht="357.75" customHeight="1" x14ac:dyDescent="0.25">
      <c r="A46" s="1023"/>
      <c r="B46" s="1017"/>
      <c r="C46" s="1005"/>
      <c r="D46" s="792"/>
      <c r="E46" s="1064"/>
      <c r="F46" s="1011"/>
      <c r="G46" s="1012"/>
      <c r="H46" s="1015"/>
      <c r="I46" s="793"/>
      <c r="J46" s="590" t="s">
        <v>411</v>
      </c>
      <c r="K46" s="606" t="s">
        <v>501</v>
      </c>
      <c r="L46" s="605">
        <v>30000</v>
      </c>
      <c r="M46" s="605">
        <f>N46+O46</f>
        <v>30000</v>
      </c>
      <c r="N46" s="488">
        <v>30000</v>
      </c>
      <c r="O46" s="607"/>
      <c r="P46" s="580">
        <f t="shared" si="5"/>
        <v>1</v>
      </c>
      <c r="Q46" s="580">
        <f>M46/G42</f>
        <v>2.380952380952381E-4</v>
      </c>
      <c r="R46" s="708" t="s">
        <v>657</v>
      </c>
      <c r="S46" s="644"/>
      <c r="T46" s="5"/>
    </row>
    <row r="47" spans="1:20" ht="30" customHeight="1" x14ac:dyDescent="0.25">
      <c r="A47" s="1021">
        <v>17</v>
      </c>
      <c r="B47" s="1016" t="s">
        <v>206</v>
      </c>
      <c r="C47" s="1003" t="s">
        <v>388</v>
      </c>
      <c r="D47" s="914" t="s">
        <v>672</v>
      </c>
      <c r="E47" s="1025" t="s">
        <v>389</v>
      </c>
      <c r="F47" s="1009" t="s">
        <v>207</v>
      </c>
      <c r="G47" s="1028">
        <v>6993444</v>
      </c>
      <c r="H47" s="1018"/>
      <c r="I47" s="790" t="s">
        <v>390</v>
      </c>
      <c r="J47" s="582" t="s">
        <v>297</v>
      </c>
      <c r="K47" s="1069" t="s">
        <v>296</v>
      </c>
      <c r="L47" s="578">
        <v>6975444</v>
      </c>
      <c r="M47" s="578">
        <v>6975444</v>
      </c>
      <c r="N47" s="488">
        <v>6975444</v>
      </c>
      <c r="O47" s="588"/>
      <c r="P47" s="580">
        <f t="shared" si="0"/>
        <v>1</v>
      </c>
      <c r="Q47" s="1067">
        <f>(M47+M48+M49+M50)/G47</f>
        <v>2.0646685667319278</v>
      </c>
      <c r="R47" s="1100" t="s">
        <v>683</v>
      </c>
      <c r="S47" s="644">
        <f t="shared" si="1"/>
        <v>0</v>
      </c>
      <c r="T47" s="5">
        <f t="shared" si="2"/>
        <v>0</v>
      </c>
    </row>
    <row r="48" spans="1:20" ht="30" x14ac:dyDescent="0.25">
      <c r="A48" s="1022"/>
      <c r="B48" s="1024"/>
      <c r="C48" s="1004"/>
      <c r="D48" s="791"/>
      <c r="E48" s="1026"/>
      <c r="F48" s="1010"/>
      <c r="G48" s="1029"/>
      <c r="H48" s="1019"/>
      <c r="I48" s="902"/>
      <c r="J48" s="590" t="s">
        <v>300</v>
      </c>
      <c r="K48" s="1070"/>
      <c r="L48" s="575">
        <v>6993444</v>
      </c>
      <c r="M48" s="575">
        <v>6993444</v>
      </c>
      <c r="N48" s="501">
        <v>6993444</v>
      </c>
      <c r="O48" s="608"/>
      <c r="P48" s="580">
        <f t="shared" si="0"/>
        <v>1</v>
      </c>
      <c r="Q48" s="1081"/>
      <c r="R48" s="1101"/>
      <c r="S48" s="644">
        <f t="shared" si="1"/>
        <v>0</v>
      </c>
      <c r="T48" s="5">
        <f t="shared" si="2"/>
        <v>0</v>
      </c>
    </row>
    <row r="49" spans="1:20" ht="75.75" customHeight="1" x14ac:dyDescent="0.25">
      <c r="A49" s="1022"/>
      <c r="B49" s="1024"/>
      <c r="C49" s="1004"/>
      <c r="D49" s="791"/>
      <c r="E49" s="1026"/>
      <c r="F49" s="1010"/>
      <c r="G49" s="1029"/>
      <c r="H49" s="1019"/>
      <c r="I49" s="902"/>
      <c r="J49" s="582" t="s">
        <v>298</v>
      </c>
      <c r="K49" s="1070"/>
      <c r="L49" s="578">
        <v>452256</v>
      </c>
      <c r="M49" s="575">
        <f>N49+O49</f>
        <v>452256</v>
      </c>
      <c r="N49" s="488">
        <v>452256</v>
      </c>
      <c r="O49" s="588"/>
      <c r="P49" s="580">
        <f t="shared" si="0"/>
        <v>1</v>
      </c>
      <c r="Q49" s="1081"/>
      <c r="R49" s="1101"/>
      <c r="S49" s="644">
        <f t="shared" si="1"/>
        <v>0</v>
      </c>
      <c r="T49" s="5">
        <f t="shared" si="2"/>
        <v>0</v>
      </c>
    </row>
    <row r="50" spans="1:20" ht="96" customHeight="1" x14ac:dyDescent="0.25">
      <c r="A50" s="1023"/>
      <c r="B50" s="1017"/>
      <c r="C50" s="1005"/>
      <c r="D50" s="792"/>
      <c r="E50" s="1027"/>
      <c r="F50" s="1011"/>
      <c r="G50" s="1030"/>
      <c r="H50" s="1020"/>
      <c r="I50" s="793"/>
      <c r="J50" s="582" t="s">
        <v>299</v>
      </c>
      <c r="K50" s="1071"/>
      <c r="L50" s="578">
        <v>18000</v>
      </c>
      <c r="M50" s="575">
        <f>N50+O50</f>
        <v>18000</v>
      </c>
      <c r="N50" s="488">
        <v>18000</v>
      </c>
      <c r="O50" s="588"/>
      <c r="P50" s="609">
        <f t="shared" si="0"/>
        <v>1</v>
      </c>
      <c r="Q50" s="1068"/>
      <c r="R50" s="1102"/>
      <c r="S50" s="644">
        <f t="shared" si="1"/>
        <v>0</v>
      </c>
      <c r="T50" s="5">
        <f t="shared" si="2"/>
        <v>0</v>
      </c>
    </row>
    <row r="51" spans="1:20" ht="295.5" customHeight="1" x14ac:dyDescent="0.25">
      <c r="A51" s="648">
        <v>18</v>
      </c>
      <c r="B51" s="610" t="s">
        <v>206</v>
      </c>
      <c r="C51" s="581" t="s">
        <v>346</v>
      </c>
      <c r="D51" s="714" t="s">
        <v>672</v>
      </c>
      <c r="E51" s="238" t="s">
        <v>347</v>
      </c>
      <c r="F51" s="585" t="s">
        <v>8</v>
      </c>
      <c r="G51" s="569">
        <v>30250000</v>
      </c>
      <c r="H51" s="600" t="s">
        <v>558</v>
      </c>
      <c r="I51" s="730" t="s">
        <v>369</v>
      </c>
      <c r="J51" s="581" t="s">
        <v>142</v>
      </c>
      <c r="K51" s="611" t="s">
        <v>356</v>
      </c>
      <c r="L51" s="578">
        <v>1127855.33</v>
      </c>
      <c r="M51" s="578">
        <f>N51+O51</f>
        <v>1010036.8899999999</v>
      </c>
      <c r="N51" s="488">
        <f>139888.21+870022.84+125.84</f>
        <v>1010036.8899999999</v>
      </c>
      <c r="O51" s="601"/>
      <c r="P51" s="580">
        <f t="shared" si="0"/>
        <v>0.89553763069949743</v>
      </c>
      <c r="Q51" s="580">
        <f>M51/G51</f>
        <v>3.3389649256198341E-2</v>
      </c>
      <c r="R51" s="647" t="s">
        <v>559</v>
      </c>
      <c r="S51" s="644">
        <f t="shared" si="1"/>
        <v>0.10446236930050255</v>
      </c>
      <c r="T51" s="5">
        <f t="shared" si="2"/>
        <v>117818.44000000018</v>
      </c>
    </row>
    <row r="52" spans="1:20" ht="146.25" customHeight="1" x14ac:dyDescent="0.25">
      <c r="A52" s="1000">
        <v>19</v>
      </c>
      <c r="B52" s="1048" t="s">
        <v>122</v>
      </c>
      <c r="C52" s="1003" t="s">
        <v>352</v>
      </c>
      <c r="D52" s="914" t="s">
        <v>678</v>
      </c>
      <c r="E52" s="1006" t="s">
        <v>355</v>
      </c>
      <c r="F52" s="1009" t="s">
        <v>8</v>
      </c>
      <c r="G52" s="873">
        <v>98373415</v>
      </c>
      <c r="H52" s="1013" t="s">
        <v>122</v>
      </c>
      <c r="I52" s="790" t="s">
        <v>276</v>
      </c>
      <c r="J52" s="581" t="s">
        <v>142</v>
      </c>
      <c r="K52" s="611" t="s">
        <v>357</v>
      </c>
      <c r="L52" s="578">
        <v>25434805</v>
      </c>
      <c r="M52" s="578">
        <v>0</v>
      </c>
      <c r="N52" s="728">
        <v>0</v>
      </c>
      <c r="O52" s="601">
        <f>M52</f>
        <v>0</v>
      </c>
      <c r="P52" s="580">
        <f t="shared" si="0"/>
        <v>0</v>
      </c>
      <c r="Q52" s="580">
        <f>M52/G52</f>
        <v>0</v>
      </c>
      <c r="R52" s="647" t="s">
        <v>560</v>
      </c>
      <c r="S52" s="644">
        <f t="shared" si="1"/>
        <v>1</v>
      </c>
      <c r="T52" s="5">
        <f t="shared" si="2"/>
        <v>25434805</v>
      </c>
    </row>
    <row r="53" spans="1:20" ht="66" customHeight="1" x14ac:dyDescent="0.25">
      <c r="A53" s="1002"/>
      <c r="B53" s="1041"/>
      <c r="C53" s="1005"/>
      <c r="D53" s="792"/>
      <c r="E53" s="1008"/>
      <c r="F53" s="1011"/>
      <c r="G53" s="1012"/>
      <c r="H53" s="1015"/>
      <c r="I53" s="793"/>
      <c r="J53" s="735" t="s">
        <v>494</v>
      </c>
      <c r="K53" s="612" t="s">
        <v>477</v>
      </c>
      <c r="L53" s="575">
        <v>0</v>
      </c>
      <c r="M53" s="575">
        <v>0</v>
      </c>
      <c r="N53" s="729">
        <v>0</v>
      </c>
      <c r="O53" s="613">
        <v>0</v>
      </c>
      <c r="P53" s="577"/>
      <c r="Q53" s="577"/>
      <c r="R53" s="652" t="s">
        <v>561</v>
      </c>
      <c r="S53" s="644"/>
      <c r="T53" s="5"/>
    </row>
    <row r="54" spans="1:20" ht="212.25" customHeight="1" x14ac:dyDescent="0.25">
      <c r="A54" s="1000">
        <v>20</v>
      </c>
      <c r="B54" s="1003" t="s">
        <v>69</v>
      </c>
      <c r="C54" s="1003" t="s">
        <v>353</v>
      </c>
      <c r="D54" s="914" t="s">
        <v>670</v>
      </c>
      <c r="E54" s="1006" t="s">
        <v>354</v>
      </c>
      <c r="F54" s="1009" t="s">
        <v>8</v>
      </c>
      <c r="G54" s="873">
        <v>18098660.440000001</v>
      </c>
      <c r="H54" s="1013" t="s">
        <v>562</v>
      </c>
      <c r="I54" s="790" t="s">
        <v>276</v>
      </c>
      <c r="J54" s="734" t="s">
        <v>142</v>
      </c>
      <c r="K54" s="614" t="s">
        <v>394</v>
      </c>
      <c r="L54" s="583">
        <v>623121.87</v>
      </c>
      <c r="M54" s="583">
        <v>554433.1</v>
      </c>
      <c r="N54" s="488">
        <v>554433.1</v>
      </c>
      <c r="O54" s="594"/>
      <c r="P54" s="615">
        <f t="shared" si="0"/>
        <v>0.88976671610001423</v>
      </c>
      <c r="Q54" s="1067">
        <f>M54/G54</f>
        <v>3.0633930165054796E-2</v>
      </c>
      <c r="R54" s="647" t="s">
        <v>563</v>
      </c>
      <c r="S54" s="644">
        <f t="shared" si="1"/>
        <v>0.11023328389998575</v>
      </c>
      <c r="T54" s="5">
        <f t="shared" si="2"/>
        <v>68688.770000000019</v>
      </c>
    </row>
    <row r="55" spans="1:20" ht="91.5" customHeight="1" x14ac:dyDescent="0.25">
      <c r="A55" s="1002"/>
      <c r="B55" s="1005"/>
      <c r="C55" s="1005"/>
      <c r="D55" s="792"/>
      <c r="E55" s="1008"/>
      <c r="F55" s="1011"/>
      <c r="G55" s="1012"/>
      <c r="H55" s="1015"/>
      <c r="I55" s="793"/>
      <c r="J55" s="581" t="s">
        <v>392</v>
      </c>
      <c r="K55" s="616" t="s">
        <v>393</v>
      </c>
      <c r="L55" s="583">
        <v>72625.27</v>
      </c>
      <c r="M55" s="583">
        <f>O55</f>
        <v>0</v>
      </c>
      <c r="N55" s="617"/>
      <c r="O55" s="594">
        <v>0</v>
      </c>
      <c r="P55" s="615">
        <f t="shared" si="0"/>
        <v>0</v>
      </c>
      <c r="Q55" s="1068"/>
      <c r="R55" s="647" t="s">
        <v>564</v>
      </c>
      <c r="S55" s="644">
        <f t="shared" si="1"/>
        <v>1</v>
      </c>
      <c r="T55" s="5">
        <f t="shared" si="2"/>
        <v>72625.27</v>
      </c>
    </row>
    <row r="56" spans="1:20" ht="169.5" customHeight="1" x14ac:dyDescent="0.25">
      <c r="A56" s="653">
        <v>21</v>
      </c>
      <c r="B56" s="734" t="s">
        <v>206</v>
      </c>
      <c r="C56" s="734" t="s">
        <v>380</v>
      </c>
      <c r="D56" s="733" t="s">
        <v>672</v>
      </c>
      <c r="E56" s="736" t="s">
        <v>381</v>
      </c>
      <c r="F56" s="737" t="s">
        <v>8</v>
      </c>
      <c r="G56" s="732">
        <v>38841252.119999997</v>
      </c>
      <c r="H56" s="618" t="s">
        <v>565</v>
      </c>
      <c r="I56" s="731" t="s">
        <v>276</v>
      </c>
      <c r="J56" s="734" t="s">
        <v>142</v>
      </c>
      <c r="K56" s="614" t="s">
        <v>485</v>
      </c>
      <c r="L56" s="619">
        <v>638862.01</v>
      </c>
      <c r="M56" s="619">
        <f>N56+O56</f>
        <v>588414.28500000003</v>
      </c>
      <c r="N56" s="488">
        <v>588414.28500000003</v>
      </c>
      <c r="O56" s="620"/>
      <c r="P56" s="621">
        <f>M56/L56</f>
        <v>0.92103502131861004</v>
      </c>
      <c r="Q56" s="621">
        <f>M56/G56</f>
        <v>1.5149209999257873E-2</v>
      </c>
      <c r="R56" s="654" t="s">
        <v>566</v>
      </c>
      <c r="S56" s="644">
        <f t="shared" si="1"/>
        <v>7.8964978681390019E-2</v>
      </c>
      <c r="T56" s="5">
        <f t="shared" si="2"/>
        <v>50447.724999999977</v>
      </c>
    </row>
    <row r="57" spans="1:20" ht="174" customHeight="1" x14ac:dyDescent="0.25">
      <c r="A57" s="653">
        <v>22</v>
      </c>
      <c r="B57" s="734" t="s">
        <v>486</v>
      </c>
      <c r="C57" s="734" t="s">
        <v>408</v>
      </c>
      <c r="D57" s="733" t="s">
        <v>678</v>
      </c>
      <c r="E57" s="736" t="s">
        <v>409</v>
      </c>
      <c r="F57" s="737" t="s">
        <v>28</v>
      </c>
      <c r="G57" s="732">
        <v>79966739</v>
      </c>
      <c r="H57" s="622" t="s">
        <v>562</v>
      </c>
      <c r="I57" s="731" t="s">
        <v>376</v>
      </c>
      <c r="J57" s="734" t="s">
        <v>410</v>
      </c>
      <c r="K57" s="604" t="s">
        <v>487</v>
      </c>
      <c r="L57" s="619">
        <v>46844.264999999999</v>
      </c>
      <c r="M57" s="619">
        <v>46844.264999999999</v>
      </c>
      <c r="N57" s="246">
        <v>46844.27</v>
      </c>
      <c r="O57" s="620"/>
      <c r="P57" s="621">
        <f t="shared" si="0"/>
        <v>1</v>
      </c>
      <c r="Q57" s="621">
        <f>M57/G57</f>
        <v>5.857968648690301E-4</v>
      </c>
      <c r="R57" s="655" t="s">
        <v>567</v>
      </c>
      <c r="S57" s="400">
        <f t="shared" si="1"/>
        <v>0</v>
      </c>
      <c r="T57" s="407">
        <f t="shared" si="2"/>
        <v>0</v>
      </c>
    </row>
    <row r="58" spans="1:20" ht="210" customHeight="1" thickBot="1" x14ac:dyDescent="0.3">
      <c r="A58" s="648">
        <v>23</v>
      </c>
      <c r="B58" s="734" t="s">
        <v>416</v>
      </c>
      <c r="C58" s="734" t="s">
        <v>417</v>
      </c>
      <c r="D58" s="733" t="s">
        <v>672</v>
      </c>
      <c r="E58" s="736" t="s">
        <v>418</v>
      </c>
      <c r="F58" s="737" t="s">
        <v>10</v>
      </c>
      <c r="G58" s="732">
        <v>832307</v>
      </c>
      <c r="H58" s="622" t="s">
        <v>568</v>
      </c>
      <c r="I58" s="731" t="s">
        <v>276</v>
      </c>
      <c r="J58" s="734" t="s">
        <v>419</v>
      </c>
      <c r="K58" s="623" t="s">
        <v>420</v>
      </c>
      <c r="L58" s="583">
        <v>262855.24</v>
      </c>
      <c r="M58" s="583">
        <v>262855.24</v>
      </c>
      <c r="N58" s="506">
        <v>262855.24</v>
      </c>
      <c r="O58" s="594"/>
      <c r="P58" s="580">
        <f t="shared" si="0"/>
        <v>1</v>
      </c>
      <c r="Q58" s="580">
        <f>M58/G58</f>
        <v>0.31581524605704386</v>
      </c>
      <c r="R58" s="676" t="s">
        <v>636</v>
      </c>
      <c r="S58" s="400"/>
      <c r="T58" s="407"/>
    </row>
    <row r="59" spans="1:20" ht="138.75" customHeight="1" x14ac:dyDescent="0.25">
      <c r="A59" s="1000">
        <v>24</v>
      </c>
      <c r="B59" s="1003" t="s">
        <v>122</v>
      </c>
      <c r="C59" s="1003" t="s">
        <v>421</v>
      </c>
      <c r="D59" s="914" t="s">
        <v>678</v>
      </c>
      <c r="E59" s="1006" t="s">
        <v>442</v>
      </c>
      <c r="F59" s="1009" t="s">
        <v>8</v>
      </c>
      <c r="G59" s="873">
        <v>79806000</v>
      </c>
      <c r="H59" s="1013" t="s">
        <v>122</v>
      </c>
      <c r="I59" s="790" t="s">
        <v>276</v>
      </c>
      <c r="J59" s="581" t="s">
        <v>142</v>
      </c>
      <c r="K59" s="581" t="s">
        <v>488</v>
      </c>
      <c r="L59" s="605">
        <v>7641510.8700000001</v>
      </c>
      <c r="M59" s="605">
        <f>N59+O59</f>
        <v>3476353.75</v>
      </c>
      <c r="N59" s="502"/>
      <c r="O59" s="525">
        <f>3751084.12-274730.37</f>
        <v>3476353.75</v>
      </c>
      <c r="P59" s="580">
        <f>M59/L59</f>
        <v>0.45493015833398925</v>
      </c>
      <c r="Q59" s="580">
        <f>M59/G59</f>
        <v>4.3560055008395361E-2</v>
      </c>
      <c r="R59" s="656" t="s">
        <v>569</v>
      </c>
      <c r="S59" s="400"/>
      <c r="T59" s="407"/>
    </row>
    <row r="60" spans="1:20" ht="172.5" customHeight="1" x14ac:dyDescent="0.25">
      <c r="A60" s="1001"/>
      <c r="B60" s="1004"/>
      <c r="C60" s="1004"/>
      <c r="D60" s="791"/>
      <c r="E60" s="1007"/>
      <c r="F60" s="1010"/>
      <c r="G60" s="874"/>
      <c r="H60" s="1014"/>
      <c r="I60" s="902"/>
      <c r="J60" s="581" t="s">
        <v>142</v>
      </c>
      <c r="K60" s="581" t="s">
        <v>475</v>
      </c>
      <c r="L60" s="583">
        <v>274730.37</v>
      </c>
      <c r="M60" s="583">
        <f>N60+O60</f>
        <v>274730.37</v>
      </c>
      <c r="N60" s="524"/>
      <c r="O60" s="526">
        <v>274730.37</v>
      </c>
      <c r="P60" s="580">
        <f>M60/L60</f>
        <v>1</v>
      </c>
      <c r="Q60" s="580">
        <f>M60/G59</f>
        <v>3.4424776332606572E-3</v>
      </c>
      <c r="R60" s="657" t="s">
        <v>557</v>
      </c>
      <c r="S60" s="400"/>
      <c r="T60" s="407"/>
    </row>
    <row r="61" spans="1:20" ht="81" customHeight="1" x14ac:dyDescent="0.25">
      <c r="A61" s="1001"/>
      <c r="B61" s="1004"/>
      <c r="C61" s="1004"/>
      <c r="D61" s="791"/>
      <c r="E61" s="1007"/>
      <c r="F61" s="1010"/>
      <c r="G61" s="874"/>
      <c r="H61" s="1014"/>
      <c r="I61" s="902"/>
      <c r="J61" s="581" t="s">
        <v>152</v>
      </c>
      <c r="K61" s="677" t="s">
        <v>637</v>
      </c>
      <c r="L61" s="605">
        <v>0</v>
      </c>
      <c r="M61" s="605">
        <v>0</v>
      </c>
      <c r="N61" s="502">
        <v>0</v>
      </c>
      <c r="O61" s="503">
        <v>0</v>
      </c>
      <c r="P61" s="580"/>
      <c r="Q61" s="580"/>
      <c r="R61" s="656" t="s">
        <v>570</v>
      </c>
      <c r="S61" s="400"/>
      <c r="T61" s="407"/>
    </row>
    <row r="62" spans="1:20" ht="350.25" customHeight="1" x14ac:dyDescent="0.25">
      <c r="A62" s="1001"/>
      <c r="B62" s="1004"/>
      <c r="C62" s="1004"/>
      <c r="D62" s="791"/>
      <c r="E62" s="1007"/>
      <c r="F62" s="1010"/>
      <c r="G62" s="874"/>
      <c r="H62" s="1014"/>
      <c r="I62" s="902"/>
      <c r="J62" s="581" t="s">
        <v>152</v>
      </c>
      <c r="K62" s="581" t="s">
        <v>478</v>
      </c>
      <c r="L62" s="605">
        <v>60000</v>
      </c>
      <c r="M62" s="605">
        <f>N62+O62</f>
        <v>60000</v>
      </c>
      <c r="N62" s="539">
        <v>60000</v>
      </c>
      <c r="O62" s="503"/>
      <c r="P62" s="580">
        <f>M62/L62</f>
        <v>1</v>
      </c>
      <c r="Q62" s="580">
        <f>M62/G59</f>
        <v>7.5182317119013606E-4</v>
      </c>
      <c r="R62" s="709" t="s">
        <v>658</v>
      </c>
      <c r="S62" s="400"/>
      <c r="T62" s="407"/>
    </row>
    <row r="63" spans="1:20" ht="368.25" customHeight="1" x14ac:dyDescent="0.25">
      <c r="A63" s="1001"/>
      <c r="B63" s="1004"/>
      <c r="C63" s="1004"/>
      <c r="D63" s="791"/>
      <c r="E63" s="1007"/>
      <c r="F63" s="1010"/>
      <c r="G63" s="874"/>
      <c r="H63" s="1014"/>
      <c r="I63" s="902"/>
      <c r="J63" s="581" t="s">
        <v>152</v>
      </c>
      <c r="K63" s="581" t="s">
        <v>499</v>
      </c>
      <c r="L63" s="605">
        <v>100000</v>
      </c>
      <c r="M63" s="605">
        <f t="shared" ref="M63:M64" si="6">N63+O63</f>
        <v>100000</v>
      </c>
      <c r="N63" s="539">
        <v>100000</v>
      </c>
      <c r="O63" s="503"/>
      <c r="P63" s="580">
        <f t="shared" ref="P63:P64" si="7">M63/L63</f>
        <v>1</v>
      </c>
      <c r="Q63" s="580">
        <f>M63/G59</f>
        <v>1.2530386186502269E-3</v>
      </c>
      <c r="R63" s="709" t="s">
        <v>659</v>
      </c>
      <c r="S63" s="400"/>
      <c r="T63" s="407"/>
    </row>
    <row r="64" spans="1:20" ht="372.75" customHeight="1" x14ac:dyDescent="0.25">
      <c r="A64" s="1002"/>
      <c r="B64" s="1005"/>
      <c r="C64" s="1005"/>
      <c r="D64" s="792"/>
      <c r="E64" s="1008"/>
      <c r="F64" s="1011"/>
      <c r="G64" s="1012"/>
      <c r="H64" s="1015"/>
      <c r="I64" s="793"/>
      <c r="J64" s="581" t="s">
        <v>152</v>
      </c>
      <c r="K64" s="581" t="s">
        <v>500</v>
      </c>
      <c r="L64" s="605">
        <v>10000</v>
      </c>
      <c r="M64" s="605">
        <f t="shared" si="6"/>
        <v>10000</v>
      </c>
      <c r="N64" s="539">
        <v>10000</v>
      </c>
      <c r="O64" s="503"/>
      <c r="P64" s="580">
        <f t="shared" si="7"/>
        <v>1</v>
      </c>
      <c r="Q64" s="580">
        <f>M64/G59</f>
        <v>1.2530386186502269E-4</v>
      </c>
      <c r="R64" s="709" t="s">
        <v>660</v>
      </c>
      <c r="S64" s="400"/>
      <c r="T64" s="407"/>
    </row>
    <row r="65" spans="1:20" ht="184.5" customHeight="1" x14ac:dyDescent="0.25">
      <c r="A65" s="658">
        <v>25</v>
      </c>
      <c r="B65" s="581" t="s">
        <v>69</v>
      </c>
      <c r="C65" s="581" t="s">
        <v>434</v>
      </c>
      <c r="D65" s="714" t="s">
        <v>670</v>
      </c>
      <c r="E65" s="238" t="s">
        <v>441</v>
      </c>
      <c r="F65" s="585" t="s">
        <v>68</v>
      </c>
      <c r="G65" s="447" t="s">
        <v>440</v>
      </c>
      <c r="H65" s="600" t="s">
        <v>69</v>
      </c>
      <c r="I65" s="730" t="s">
        <v>435</v>
      </c>
      <c r="J65" s="725" t="s">
        <v>410</v>
      </c>
      <c r="K65" s="738" t="s">
        <v>704</v>
      </c>
      <c r="L65" s="624">
        <v>1288295.8999999999</v>
      </c>
      <c r="M65" s="624">
        <v>1288295.8999999999</v>
      </c>
      <c r="N65" s="539">
        <v>1288295.8999999999</v>
      </c>
      <c r="O65" s="527"/>
      <c r="P65" s="625">
        <f t="shared" si="0"/>
        <v>1</v>
      </c>
      <c r="Q65" s="625">
        <f>M65/14016475</f>
        <v>9.1912973839713613E-2</v>
      </c>
      <c r="R65" s="739" t="s">
        <v>705</v>
      </c>
      <c r="S65" s="400"/>
      <c r="T65" s="407"/>
    </row>
    <row r="66" spans="1:20" ht="184.5" customHeight="1" thickBot="1" x14ac:dyDescent="0.3">
      <c r="A66" s="679">
        <v>26</v>
      </c>
      <c r="B66" s="684" t="s">
        <v>206</v>
      </c>
      <c r="C66" s="684" t="s">
        <v>647</v>
      </c>
      <c r="D66" s="714" t="s">
        <v>672</v>
      </c>
      <c r="E66" s="238" t="s">
        <v>694</v>
      </c>
      <c r="F66" s="722" t="s">
        <v>68</v>
      </c>
      <c r="G66" s="447">
        <v>6979266.3099999996</v>
      </c>
      <c r="H66" s="600" t="s">
        <v>206</v>
      </c>
      <c r="I66" s="730" t="s">
        <v>695</v>
      </c>
      <c r="J66" s="725" t="s">
        <v>410</v>
      </c>
      <c r="K66" s="724" t="s">
        <v>693</v>
      </c>
      <c r="L66" s="680">
        <v>581901</v>
      </c>
      <c r="M66" s="680">
        <f>N66+O66</f>
        <v>581901</v>
      </c>
      <c r="N66" s="681">
        <v>581901</v>
      </c>
      <c r="O66" s="682"/>
      <c r="P66" s="625">
        <f t="shared" ref="P66" si="8">M66/L66</f>
        <v>1</v>
      </c>
      <c r="Q66" s="625">
        <f>M66/G66</f>
        <v>8.3375669325906551E-2</v>
      </c>
      <c r="R66" s="721" t="s">
        <v>691</v>
      </c>
      <c r="S66" s="400"/>
      <c r="T66" s="407"/>
    </row>
    <row r="67" spans="1:20" ht="28.5" customHeight="1" thickBot="1" x14ac:dyDescent="0.3">
      <c r="A67" s="659"/>
      <c r="B67" s="416" t="s">
        <v>129</v>
      </c>
      <c r="C67" s="531"/>
      <c r="D67" s="531"/>
      <c r="E67" s="626"/>
      <c r="F67" s="627"/>
      <c r="G67" s="417">
        <f>SUM(G5:G65)</f>
        <v>3548832947.0099998</v>
      </c>
      <c r="H67" s="628"/>
      <c r="I67" s="629"/>
      <c r="J67" s="629"/>
      <c r="K67" s="630"/>
      <c r="L67" s="431">
        <f>SUM(L5:L66)</f>
        <v>894712980.08450007</v>
      </c>
      <c r="M67" s="432">
        <f>SUM(M5:M66)</f>
        <v>314227325.27399987</v>
      </c>
      <c r="N67" s="483">
        <f>SUM(N5:N66)+33160392+1.39</f>
        <v>334234235.98399991</v>
      </c>
      <c r="O67" s="433">
        <f>SUM(O5:O65)</f>
        <v>13153482.684999999</v>
      </c>
      <c r="P67" s="434">
        <f>M67/L67</f>
        <v>0.35120461228172084</v>
      </c>
      <c r="Q67" s="418">
        <f>M67/G67</f>
        <v>8.8543848066656952E-2</v>
      </c>
      <c r="R67" s="683" t="s">
        <v>211</v>
      </c>
      <c r="S67" s="251">
        <f>T67/L67</f>
        <v>0.64879538771827905</v>
      </c>
      <c r="T67" s="382">
        <f>L67-M67</f>
        <v>580485654.81050014</v>
      </c>
    </row>
    <row r="68" spans="1:20" ht="30" customHeight="1" x14ac:dyDescent="0.25">
      <c r="A68" s="660"/>
      <c r="B68" s="314" t="s">
        <v>157</v>
      </c>
      <c r="C68" s="1108" t="s">
        <v>226</v>
      </c>
      <c r="D68" s="1108"/>
      <c r="E68" s="1108"/>
      <c r="F68" s="1108"/>
      <c r="G68" s="536"/>
      <c r="H68" s="631"/>
      <c r="I68" s="249"/>
      <c r="J68" s="249"/>
      <c r="K68" s="250"/>
      <c r="L68" s="223" t="s">
        <v>211</v>
      </c>
      <c r="M68" s="223" t="s">
        <v>211</v>
      </c>
      <c r="N68" s="224">
        <f>N67-N69</f>
        <v>203534107.66399992</v>
      </c>
      <c r="O68" s="225" t="s">
        <v>211</v>
      </c>
      <c r="P68" s="223" t="s">
        <v>211</v>
      </c>
      <c r="Q68" s="248" t="s">
        <v>211</v>
      </c>
      <c r="R68" s="633" t="s">
        <v>211</v>
      </c>
      <c r="S68" s="645" t="s">
        <v>211</v>
      </c>
      <c r="T68" s="632" t="s">
        <v>211</v>
      </c>
    </row>
    <row r="69" spans="1:20" ht="30.75" customHeight="1" thickBot="1" x14ac:dyDescent="0.3">
      <c r="A69" s="661"/>
      <c r="B69" s="662" t="s">
        <v>157</v>
      </c>
      <c r="C69" s="1103" t="s">
        <v>330</v>
      </c>
      <c r="D69" s="1103"/>
      <c r="E69" s="1103"/>
      <c r="F69" s="1103"/>
      <c r="G69" s="1103"/>
      <c r="H69" s="1103"/>
      <c r="I69" s="1103"/>
      <c r="J69" s="1103"/>
      <c r="K69" s="1104"/>
      <c r="L69" s="663" t="s">
        <v>211</v>
      </c>
      <c r="M69" s="663" t="s">
        <v>211</v>
      </c>
      <c r="N69" s="664">
        <f>N5+N8+N14+N12+N26+N33</f>
        <v>130700128.32000001</v>
      </c>
      <c r="O69" s="665">
        <f>O67</f>
        <v>13153482.684999999</v>
      </c>
      <c r="P69" s="666" t="s">
        <v>211</v>
      </c>
      <c r="Q69" s="667" t="s">
        <v>211</v>
      </c>
      <c r="R69" s="668" t="s">
        <v>211</v>
      </c>
      <c r="S69" s="646" t="s">
        <v>211</v>
      </c>
      <c r="T69" s="634" t="s">
        <v>211</v>
      </c>
    </row>
    <row r="70" spans="1:20" x14ac:dyDescent="0.25">
      <c r="A70" s="17"/>
      <c r="B70" s="148"/>
      <c r="C70" s="532"/>
      <c r="D70" s="532"/>
      <c r="E70" s="534"/>
      <c r="F70" s="534"/>
      <c r="G70" s="537"/>
      <c r="H70" s="635"/>
      <c r="I70" s="19"/>
      <c r="J70" s="19"/>
      <c r="K70" s="19"/>
      <c r="L70" s="19"/>
      <c r="M70" s="19"/>
      <c r="N70" s="20"/>
      <c r="O70" s="21"/>
      <c r="P70" s="21"/>
      <c r="Q70" s="21"/>
    </row>
    <row r="71" spans="1:20" x14ac:dyDescent="0.25">
      <c r="A71" s="22"/>
      <c r="B71" s="24"/>
      <c r="C71" s="533"/>
      <c r="D71" s="533"/>
      <c r="N71" s="21"/>
      <c r="O71" s="21"/>
      <c r="P71" s="21"/>
      <c r="Q71" s="21"/>
    </row>
    <row r="72" spans="1:20" x14ac:dyDescent="0.25">
      <c r="A72" s="22"/>
      <c r="B72" s="484" t="s">
        <v>454</v>
      </c>
      <c r="C72" s="532"/>
      <c r="D72" s="532"/>
      <c r="L72" s="637"/>
      <c r="M72" s="637"/>
      <c r="N72" s="638"/>
      <c r="O72" s="71"/>
      <c r="P72" s="173"/>
      <c r="Q72" s="173"/>
    </row>
    <row r="73" spans="1:20" ht="52.5" customHeight="1" x14ac:dyDescent="0.25">
      <c r="A73" s="17"/>
      <c r="B73" s="779" t="s">
        <v>699</v>
      </c>
      <c r="C73" s="779"/>
      <c r="D73" s="779"/>
      <c r="E73" s="779"/>
      <c r="F73" s="779"/>
      <c r="G73" s="779"/>
      <c r="H73" s="779"/>
      <c r="I73" s="779"/>
      <c r="J73" s="19"/>
      <c r="K73" s="19"/>
      <c r="L73" s="254"/>
      <c r="M73" s="254"/>
      <c r="N73" s="21"/>
      <c r="O73" s="21"/>
      <c r="P73" s="21"/>
      <c r="Q73" s="21"/>
    </row>
    <row r="74" spans="1:20" x14ac:dyDescent="0.25">
      <c r="A74" s="17"/>
      <c r="B74" s="1105" t="s">
        <v>700</v>
      </c>
      <c r="C74" s="1105"/>
      <c r="D74" s="1105"/>
      <c r="E74" s="1105"/>
      <c r="F74" s="1105"/>
      <c r="G74" s="1105"/>
      <c r="H74" s="1105"/>
      <c r="I74" s="1105"/>
      <c r="J74" s="19"/>
      <c r="K74" s="19"/>
      <c r="L74" s="19"/>
      <c r="M74" s="19"/>
      <c r="N74" s="21"/>
      <c r="O74" s="21"/>
      <c r="P74" s="21"/>
      <c r="Q74" s="21"/>
    </row>
    <row r="75" spans="1:20" x14ac:dyDescent="0.25">
      <c r="A75" s="17"/>
      <c r="B75" s="24"/>
      <c r="C75" s="58"/>
      <c r="D75" s="58"/>
      <c r="E75" s="534"/>
      <c r="F75" s="534"/>
      <c r="G75" s="537"/>
      <c r="H75" s="635"/>
      <c r="I75" s="19"/>
      <c r="J75" s="19"/>
      <c r="K75" s="19"/>
      <c r="L75" s="19"/>
      <c r="M75" s="19"/>
      <c r="N75" s="21"/>
      <c r="O75" s="21"/>
      <c r="P75" s="21"/>
      <c r="Q75" s="21"/>
    </row>
    <row r="76" spans="1:20" x14ac:dyDescent="0.25">
      <c r="A76" s="17"/>
      <c r="B76" s="24"/>
      <c r="C76" s="58"/>
      <c r="D76" s="58"/>
      <c r="E76" s="534"/>
      <c r="F76" s="534"/>
      <c r="G76" s="537"/>
      <c r="H76" s="635"/>
      <c r="I76" s="19"/>
      <c r="J76" s="19"/>
      <c r="K76" s="19"/>
      <c r="L76" s="19"/>
      <c r="M76" s="19"/>
      <c r="N76" s="21"/>
      <c r="O76" s="21"/>
      <c r="P76" s="21"/>
      <c r="Q76" s="21"/>
    </row>
    <row r="77" spans="1:20" x14ac:dyDescent="0.25">
      <c r="A77" s="17"/>
      <c r="B77" s="24"/>
      <c r="C77" s="58"/>
      <c r="D77" s="58"/>
      <c r="E77" s="534"/>
      <c r="F77" s="534"/>
      <c r="G77" s="537"/>
      <c r="H77" s="635"/>
      <c r="I77" s="19"/>
      <c r="J77" s="19"/>
      <c r="K77" s="19"/>
      <c r="L77" s="19"/>
      <c r="M77" s="19"/>
      <c r="N77" s="21"/>
      <c r="O77" s="21"/>
      <c r="P77" s="21"/>
      <c r="Q77" s="21"/>
    </row>
    <row r="78" spans="1:20" x14ac:dyDescent="0.25">
      <c r="A78" s="17"/>
      <c r="B78" s="149"/>
      <c r="C78" s="58"/>
      <c r="D78" s="58"/>
      <c r="I78" s="23"/>
      <c r="J78" s="23"/>
      <c r="K78" s="23"/>
      <c r="L78" s="474"/>
      <c r="M78" s="474"/>
      <c r="N78" s="474"/>
      <c r="O78" s="474"/>
      <c r="P78" s="474"/>
      <c r="Q78" s="474"/>
    </row>
    <row r="79" spans="1:20" x14ac:dyDescent="0.25">
      <c r="A79" s="17"/>
      <c r="B79" s="149"/>
      <c r="C79" s="533"/>
      <c r="D79" s="533"/>
      <c r="I79" s="23"/>
      <c r="J79" s="23"/>
      <c r="K79" s="23"/>
      <c r="L79" s="474"/>
      <c r="M79" s="474"/>
      <c r="N79" s="474"/>
      <c r="O79" s="474"/>
      <c r="P79" s="474"/>
      <c r="Q79" s="474"/>
    </row>
    <row r="80" spans="1:20" x14ac:dyDescent="0.25">
      <c r="A80" s="17"/>
      <c r="B80" s="149"/>
      <c r="C80" s="533"/>
      <c r="D80" s="533"/>
      <c r="I80" s="23"/>
      <c r="J80" s="23"/>
      <c r="K80" s="23"/>
      <c r="L80" s="474"/>
      <c r="M80" s="474"/>
      <c r="N80" s="474"/>
      <c r="O80" s="474"/>
      <c r="P80" s="474"/>
      <c r="Q80" s="474"/>
    </row>
    <row r="81" spans="1:17" x14ac:dyDescent="0.25">
      <c r="A81" s="17"/>
      <c r="B81" s="149"/>
      <c r="C81" s="533"/>
      <c r="D81" s="533"/>
      <c r="I81" s="23"/>
      <c r="J81" s="23"/>
      <c r="K81" s="23"/>
      <c r="L81" s="474"/>
      <c r="M81" s="474"/>
      <c r="N81" s="474"/>
      <c r="O81" s="474"/>
      <c r="P81" s="474"/>
      <c r="Q81" s="474"/>
    </row>
    <row r="82" spans="1:17" x14ac:dyDescent="0.25">
      <c r="A82" s="17"/>
      <c r="B82" s="149"/>
      <c r="C82" s="533"/>
      <c r="D82" s="533"/>
      <c r="I82" s="23"/>
      <c r="J82" s="23"/>
      <c r="K82" s="23"/>
      <c r="L82" s="474"/>
      <c r="M82" s="474"/>
      <c r="N82" s="474"/>
      <c r="O82" s="474"/>
      <c r="P82" s="9"/>
      <c r="Q82" s="9"/>
    </row>
    <row r="83" spans="1:17" x14ac:dyDescent="0.25">
      <c r="A83" s="17"/>
      <c r="I83" s="23"/>
      <c r="J83" s="23"/>
      <c r="K83" s="23"/>
      <c r="L83" s="474"/>
      <c r="M83" s="474"/>
      <c r="N83" s="474"/>
      <c r="O83" s="474"/>
      <c r="P83" s="9"/>
      <c r="Q83" s="9"/>
    </row>
    <row r="84" spans="1:17" x14ac:dyDescent="0.25">
      <c r="A84" s="17"/>
      <c r="I84" s="23"/>
      <c r="J84" s="23"/>
      <c r="K84" s="23"/>
      <c r="L84" s="474"/>
      <c r="M84" s="474"/>
      <c r="N84" s="474"/>
      <c r="O84" s="474"/>
      <c r="P84" s="9"/>
      <c r="Q84" s="9"/>
    </row>
    <row r="85" spans="1:17" x14ac:dyDescent="0.25">
      <c r="A85" s="17"/>
      <c r="I85" s="23"/>
      <c r="J85" s="23"/>
      <c r="K85" s="23"/>
      <c r="L85" s="23"/>
      <c r="M85" s="23"/>
      <c r="N85" s="9"/>
      <c r="O85" s="9"/>
      <c r="P85" s="9"/>
      <c r="Q85" s="9"/>
    </row>
    <row r="86" spans="1:17" x14ac:dyDescent="0.25">
      <c r="A86" s="17"/>
      <c r="I86" s="23"/>
      <c r="J86" s="23"/>
      <c r="K86" s="23"/>
      <c r="L86" s="23"/>
      <c r="M86" s="23"/>
      <c r="N86" s="9"/>
      <c r="O86" s="9"/>
      <c r="P86" s="9"/>
      <c r="Q86" s="9"/>
    </row>
    <row r="87" spans="1:17" x14ac:dyDescent="0.25">
      <c r="A87" s="17"/>
      <c r="I87" s="23"/>
      <c r="J87" s="23"/>
      <c r="K87" s="23"/>
      <c r="L87" s="23"/>
      <c r="M87" s="23"/>
      <c r="N87" s="9"/>
      <c r="O87" s="9"/>
      <c r="P87" s="9"/>
      <c r="Q87" s="9"/>
    </row>
    <row r="88" spans="1:17" x14ac:dyDescent="0.25">
      <c r="A88" s="17"/>
      <c r="I88" s="23"/>
      <c r="J88" s="23"/>
      <c r="K88" s="23"/>
      <c r="L88" s="23"/>
      <c r="M88" s="23"/>
      <c r="N88" s="9"/>
      <c r="O88" s="9"/>
      <c r="P88" s="9"/>
      <c r="Q88" s="9"/>
    </row>
    <row r="89" spans="1:17" x14ac:dyDescent="0.25">
      <c r="A89" s="17"/>
      <c r="I89" s="23"/>
      <c r="J89" s="23"/>
      <c r="K89" s="23"/>
      <c r="L89" s="23"/>
      <c r="M89" s="23"/>
      <c r="N89" s="9"/>
      <c r="O89" s="9"/>
      <c r="P89" s="9"/>
      <c r="Q89" s="9"/>
    </row>
    <row r="90" spans="1:17" x14ac:dyDescent="0.25">
      <c r="A90" s="17"/>
      <c r="I90" s="23"/>
      <c r="J90" s="23"/>
      <c r="K90" s="23"/>
      <c r="L90" s="23"/>
      <c r="M90" s="23"/>
      <c r="N90" s="9"/>
      <c r="O90" s="9"/>
      <c r="P90" s="9"/>
      <c r="Q90" s="9"/>
    </row>
    <row r="91" spans="1:17" x14ac:dyDescent="0.25">
      <c r="A91" s="17"/>
      <c r="I91" s="23"/>
      <c r="J91" s="23"/>
      <c r="K91" s="23"/>
      <c r="L91" s="23"/>
      <c r="M91" s="23"/>
      <c r="N91" s="9"/>
      <c r="O91" s="9"/>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9"/>
      <c r="I113" s="23"/>
      <c r="J113" s="23"/>
      <c r="K113" s="23"/>
      <c r="L113" s="23"/>
      <c r="M113" s="23"/>
      <c r="N113" s="9"/>
      <c r="O113" s="9"/>
      <c r="P113" s="9"/>
      <c r="Q113" s="9"/>
    </row>
    <row r="114" spans="1:17" x14ac:dyDescent="0.25">
      <c r="A114" s="19"/>
      <c r="I114" s="23"/>
      <c r="J114" s="23"/>
      <c r="K114" s="23"/>
      <c r="L114" s="23"/>
      <c r="M114" s="23"/>
      <c r="N114" s="9"/>
      <c r="O114" s="9"/>
      <c r="P114" s="9"/>
      <c r="Q114" s="9"/>
    </row>
    <row r="115" spans="1:17" x14ac:dyDescent="0.25">
      <c r="A115" s="19"/>
      <c r="I115" s="23"/>
      <c r="J115" s="23"/>
      <c r="K115" s="23"/>
      <c r="L115" s="23"/>
      <c r="M115" s="23"/>
      <c r="N115" s="9"/>
      <c r="O115" s="9"/>
      <c r="P115" s="9"/>
      <c r="Q115" s="9"/>
    </row>
    <row r="116" spans="1:17" x14ac:dyDescent="0.25">
      <c r="A116" s="19"/>
      <c r="I116" s="23"/>
      <c r="J116" s="23"/>
      <c r="K116" s="23"/>
      <c r="L116" s="23"/>
      <c r="M116" s="23"/>
      <c r="N116" s="9"/>
      <c r="O116" s="9"/>
      <c r="P116" s="9"/>
      <c r="Q116" s="9"/>
    </row>
    <row r="117" spans="1:17" x14ac:dyDescent="0.25">
      <c r="I117" s="23"/>
      <c r="J117" s="23"/>
      <c r="K117" s="23"/>
      <c r="L117" s="23"/>
      <c r="M117" s="23"/>
      <c r="N117" s="9"/>
      <c r="O117" s="9"/>
      <c r="P117" s="9"/>
      <c r="Q117" s="9"/>
    </row>
    <row r="118" spans="1:17" x14ac:dyDescent="0.25">
      <c r="I118" s="23"/>
      <c r="J118" s="23"/>
      <c r="K118" s="23"/>
      <c r="L118" s="23"/>
      <c r="M118" s="23"/>
      <c r="N118" s="9"/>
      <c r="O118" s="9"/>
      <c r="P118" s="9"/>
      <c r="Q118" s="9"/>
    </row>
    <row r="119" spans="1:17" x14ac:dyDescent="0.25">
      <c r="I119" s="23"/>
      <c r="J119" s="23"/>
      <c r="K119" s="23"/>
      <c r="L119" s="23"/>
      <c r="M119" s="23"/>
      <c r="N119" s="9"/>
      <c r="O119" s="9"/>
      <c r="P119" s="9"/>
      <c r="Q119" s="9"/>
    </row>
    <row r="120" spans="1:17" x14ac:dyDescent="0.25">
      <c r="I120" s="23"/>
      <c r="J120" s="23"/>
      <c r="K120" s="23"/>
      <c r="L120" s="23"/>
      <c r="M120" s="23"/>
      <c r="N120" s="9"/>
      <c r="O120" s="9"/>
      <c r="P120" s="9"/>
      <c r="Q120" s="9"/>
    </row>
    <row r="121" spans="1:17" x14ac:dyDescent="0.25">
      <c r="I121" s="23"/>
      <c r="J121" s="23"/>
      <c r="K121" s="23"/>
      <c r="L121" s="23"/>
      <c r="M121" s="23"/>
      <c r="N121" s="9"/>
      <c r="O121" s="9"/>
      <c r="P121" s="9"/>
      <c r="Q121" s="9"/>
    </row>
    <row r="122" spans="1:17" x14ac:dyDescent="0.25">
      <c r="I122" s="23"/>
      <c r="J122" s="23"/>
      <c r="K122" s="23"/>
      <c r="L122" s="23"/>
      <c r="M122" s="23"/>
      <c r="N122" s="9"/>
      <c r="O122" s="9"/>
      <c r="P122" s="9"/>
      <c r="Q122" s="9"/>
    </row>
    <row r="123" spans="1:17" x14ac:dyDescent="0.25">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row>
    <row r="128" spans="1:17" x14ac:dyDescent="0.25">
      <c r="I128" s="23"/>
      <c r="J128" s="23"/>
      <c r="K128" s="23"/>
      <c r="L128" s="23"/>
      <c r="M128" s="23"/>
    </row>
    <row r="129" spans="9:13" x14ac:dyDescent="0.25">
      <c r="I129" s="23"/>
      <c r="J129" s="23"/>
      <c r="K129" s="23"/>
      <c r="L129" s="23"/>
      <c r="M129" s="23"/>
    </row>
    <row r="130" spans="9:13" x14ac:dyDescent="0.25">
      <c r="I130" s="23"/>
      <c r="J130" s="23"/>
      <c r="K130" s="23"/>
      <c r="L130" s="23"/>
      <c r="M130" s="23"/>
    </row>
    <row r="131" spans="9:13" x14ac:dyDescent="0.25">
      <c r="I131" s="23"/>
      <c r="J131" s="23"/>
      <c r="K131" s="23"/>
      <c r="L131" s="23"/>
      <c r="M131" s="23"/>
    </row>
    <row r="132" spans="9:13" x14ac:dyDescent="0.25">
      <c r="I132" s="23"/>
      <c r="J132" s="23"/>
      <c r="K132" s="23"/>
      <c r="L132" s="23"/>
      <c r="M132" s="23"/>
    </row>
    <row r="133" spans="9:13" x14ac:dyDescent="0.25">
      <c r="I133" s="23"/>
      <c r="J133" s="23"/>
      <c r="K133" s="23"/>
      <c r="L133" s="23"/>
      <c r="M133" s="23"/>
    </row>
  </sheetData>
  <mergeCells count="213">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 ref="Q54:Q55"/>
    <mergeCell ref="I59:I64"/>
    <mergeCell ref="C69:K69"/>
    <mergeCell ref="B73:I73"/>
    <mergeCell ref="B74:I74"/>
    <mergeCell ref="I35:I36"/>
    <mergeCell ref="Q35:Q36"/>
    <mergeCell ref="I37:I39"/>
    <mergeCell ref="Q37:Q39"/>
    <mergeCell ref="I40:I41"/>
    <mergeCell ref="Q40:Q41"/>
    <mergeCell ref="I42:I46"/>
    <mergeCell ref="H52:H53"/>
    <mergeCell ref="G52:G53"/>
    <mergeCell ref="F52:F53"/>
    <mergeCell ref="E52:E53"/>
    <mergeCell ref="C52:C53"/>
    <mergeCell ref="B52:B53"/>
    <mergeCell ref="C68:F68"/>
    <mergeCell ref="F54:F55"/>
    <mergeCell ref="G54:G55"/>
    <mergeCell ref="H54:H55"/>
    <mergeCell ref="B35:B36"/>
    <mergeCell ref="D59:D64"/>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s>
  <pageMargins left="0.23622047244094491" right="0.23622047244094491" top="0.74803149606299213" bottom="0.74803149606299213" header="0.31496062992125984" footer="0.31496062992125984"/>
  <pageSetup paperSize="8" scale="63" fitToHeight="0" orientation="landscape" r:id="rId1"/>
  <headerFooter>
    <oddFooter xml:space="preserve">&amp;RZpracoval odbor finanční , stav k 3. 4. 2017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58" t="s">
        <v>648</v>
      </c>
    </row>
    <row r="5" spans="1:6" ht="15.75" thickBot="1" x14ac:dyDescent="0.3">
      <c r="A5" s="694"/>
      <c r="B5" s="703" t="s">
        <v>638</v>
      </c>
      <c r="C5" s="704" t="s">
        <v>649</v>
      </c>
      <c r="D5" s="705" t="s">
        <v>639</v>
      </c>
      <c r="E5" s="706" t="s">
        <v>640</v>
      </c>
    </row>
    <row r="6" spans="1:6" ht="30.75" thickTop="1" x14ac:dyDescent="0.25">
      <c r="A6" s="693" t="s">
        <v>641</v>
      </c>
      <c r="B6" s="698" t="s">
        <v>216</v>
      </c>
      <c r="C6" s="695">
        <f>134201.25*0.85+361507.25*0.85</f>
        <v>421352.22499999998</v>
      </c>
      <c r="D6" s="691">
        <v>393222.74</v>
      </c>
      <c r="E6" s="692">
        <f>C6-D6</f>
        <v>28129.484999999986</v>
      </c>
    </row>
    <row r="7" spans="1:6" ht="30" x14ac:dyDescent="0.25">
      <c r="A7" s="686" t="s">
        <v>642</v>
      </c>
      <c r="B7" s="699" t="s">
        <v>170</v>
      </c>
      <c r="C7" s="696">
        <f>44293.75*0.85</f>
        <v>37649.6875</v>
      </c>
      <c r="D7" s="685">
        <v>37649.68</v>
      </c>
      <c r="E7" s="687">
        <f t="shared" ref="E7:E11" si="0">C7-D7</f>
        <v>7.4999999997089617E-3</v>
      </c>
      <c r="F7" s="678"/>
    </row>
    <row r="8" spans="1:6" ht="30" x14ac:dyDescent="0.25">
      <c r="A8" s="686" t="s">
        <v>643</v>
      </c>
      <c r="B8" s="699" t="s">
        <v>171</v>
      </c>
      <c r="C8" s="696">
        <f>397500*0.85</f>
        <v>337875</v>
      </c>
      <c r="D8" s="685">
        <v>337874.99</v>
      </c>
      <c r="E8" s="687">
        <f t="shared" si="0"/>
        <v>1.0000000009313226E-2</v>
      </c>
      <c r="F8" s="678"/>
    </row>
    <row r="9" spans="1:6" ht="45" x14ac:dyDescent="0.25">
      <c r="A9" s="686" t="s">
        <v>644</v>
      </c>
      <c r="B9" s="699" t="s">
        <v>289</v>
      </c>
      <c r="C9" s="696">
        <v>259239.57</v>
      </c>
      <c r="D9" s="685">
        <v>259239.57</v>
      </c>
      <c r="E9" s="687">
        <f t="shared" si="0"/>
        <v>0</v>
      </c>
    </row>
    <row r="10" spans="1:6" ht="45" x14ac:dyDescent="0.25">
      <c r="A10" s="686" t="s">
        <v>645</v>
      </c>
      <c r="B10" s="699" t="s">
        <v>174</v>
      </c>
      <c r="C10" s="696">
        <v>225882.28</v>
      </c>
      <c r="D10" s="685">
        <v>186679.77</v>
      </c>
      <c r="E10" s="687">
        <f t="shared" si="0"/>
        <v>39202.510000000009</v>
      </c>
    </row>
    <row r="11" spans="1:6" ht="45.75" thickBot="1" x14ac:dyDescent="0.3">
      <c r="A11" s="688" t="s">
        <v>646</v>
      </c>
      <c r="B11" s="700" t="s">
        <v>366</v>
      </c>
      <c r="C11" s="697">
        <v>910378.05</v>
      </c>
      <c r="D11" s="689">
        <v>751432.9</v>
      </c>
      <c r="E11" s="690">
        <f t="shared" si="0"/>
        <v>158945.15000000002</v>
      </c>
    </row>
    <row r="12" spans="1:6" s="22" customFormat="1" ht="15.75" thickBot="1" x14ac:dyDescent="0.3">
      <c r="A12" s="1114" t="s">
        <v>212</v>
      </c>
      <c r="B12" s="1115"/>
      <c r="C12" s="701">
        <f>SUM(C6:C11)</f>
        <v>2192376.8125</v>
      </c>
      <c r="D12" s="701">
        <f>SUM(D6:D11)</f>
        <v>1966099.65</v>
      </c>
      <c r="E12" s="702">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C2CF7AF8-AFFD-436A-B52A-0BD09F5D0E4B}"/>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31. zasedání Rady Karlovarského kraje, které se uskutečnilo dne 24.04.2017 (k bodu č. 6)</dc:title>
  <dc:creator/>
  <cp:lastModifiedBy/>
  <dcterms:created xsi:type="dcterms:W3CDTF">2006-09-16T00:00:00Z</dcterms:created>
  <dcterms:modified xsi:type="dcterms:W3CDTF">2017-04-19T07:55:16Z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